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8000" windowHeight="24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21" i="1"/>
  <c r="G21" i="1" l="1"/>
  <c r="D39" i="1" l="1"/>
  <c r="R33" i="1"/>
  <c r="T33" i="1" s="1"/>
  <c r="R32" i="1"/>
  <c r="T32" i="1" s="1"/>
  <c r="R27" i="1"/>
  <c r="T27" i="1" s="1"/>
  <c r="R19" i="1"/>
  <c r="T19" i="1" s="1"/>
  <c r="R18" i="1"/>
  <c r="T18" i="1" s="1"/>
  <c r="AK13" i="1" l="1"/>
  <c r="AK8" i="1"/>
  <c r="L11" i="1"/>
  <c r="L23" i="1"/>
  <c r="L24" i="1"/>
  <c r="L22" i="1"/>
  <c r="AK9" i="1" l="1"/>
  <c r="M23" i="1"/>
  <c r="M24" i="1"/>
  <c r="AE11" i="1"/>
  <c r="Z34" i="1"/>
  <c r="X34" i="1"/>
  <c r="W34" i="1"/>
  <c r="Z33" i="1"/>
  <c r="X33" i="1"/>
  <c r="W33" i="1"/>
  <c r="Y33" i="1" s="1"/>
  <c r="Z32" i="1"/>
  <c r="X32" i="1"/>
  <c r="W32" i="1"/>
  <c r="Y32" i="1" s="1"/>
  <c r="Z31" i="1"/>
  <c r="X31" i="1"/>
  <c r="W31" i="1"/>
  <c r="Z30" i="1"/>
  <c r="X30" i="1"/>
  <c r="V30" i="1" s="1"/>
  <c r="W30" i="1"/>
  <c r="Z29" i="1"/>
  <c r="X29" i="1"/>
  <c r="V29" i="1" s="1"/>
  <c r="W29" i="1"/>
  <c r="Z28" i="1"/>
  <c r="X28" i="1"/>
  <c r="W28" i="1"/>
  <c r="Y28" i="1" s="1"/>
  <c r="Z27" i="1"/>
  <c r="X27" i="1"/>
  <c r="V27" i="1" s="1"/>
  <c r="W27" i="1"/>
  <c r="Z20" i="1"/>
  <c r="X20" i="1"/>
  <c r="W20" i="1"/>
  <c r="Z19" i="1"/>
  <c r="X19" i="1"/>
  <c r="W19" i="1"/>
  <c r="Y19" i="1" s="1"/>
  <c r="Z18" i="1"/>
  <c r="X18" i="1"/>
  <c r="W18" i="1"/>
  <c r="Y18" i="1" s="1"/>
  <c r="Z17" i="1"/>
  <c r="X17" i="1"/>
  <c r="W17" i="1"/>
  <c r="Y17" i="1" s="1"/>
  <c r="Z16" i="1"/>
  <c r="X16" i="1"/>
  <c r="W16" i="1"/>
  <c r="Z15" i="1"/>
  <c r="X15" i="1"/>
  <c r="W15" i="1"/>
  <c r="Z14" i="1"/>
  <c r="X14" i="1"/>
  <c r="W14" i="1"/>
  <c r="X13" i="1"/>
  <c r="Z13" i="1"/>
  <c r="W13" i="1"/>
  <c r="AD13" i="1" s="1"/>
  <c r="K25" i="1"/>
  <c r="K21" i="1"/>
  <c r="M22" i="1" s="1"/>
  <c r="K34" i="1"/>
  <c r="K33" i="1"/>
  <c r="K32" i="1"/>
  <c r="K31" i="1"/>
  <c r="N31" i="1" s="1"/>
  <c r="K30" i="1"/>
  <c r="R30" i="1" s="1"/>
  <c r="T30" i="1" s="1"/>
  <c r="K29" i="1"/>
  <c r="R29" i="1" s="1"/>
  <c r="T29" i="1" s="1"/>
  <c r="K28" i="1"/>
  <c r="K27" i="1"/>
  <c r="K20" i="1"/>
  <c r="R20" i="1" s="1"/>
  <c r="T20" i="1" s="1"/>
  <c r="K19" i="1"/>
  <c r="K18" i="1"/>
  <c r="K17" i="1"/>
  <c r="K16" i="1"/>
  <c r="K15" i="1"/>
  <c r="K14" i="1"/>
  <c r="K13" i="1"/>
  <c r="K11" i="1"/>
  <c r="M11" i="1" s="1"/>
  <c r="D34" i="1"/>
  <c r="D33" i="1"/>
  <c r="D32" i="1"/>
  <c r="D31" i="1"/>
  <c r="D30" i="1"/>
  <c r="D29" i="1"/>
  <c r="D28" i="1"/>
  <c r="D27" i="1"/>
  <c r="D20" i="1"/>
  <c r="D19" i="1"/>
  <c r="D18" i="1"/>
  <c r="D17" i="1"/>
  <c r="D16" i="1"/>
  <c r="D15" i="1"/>
  <c r="D14" i="1"/>
  <c r="D13" i="1"/>
  <c r="Y20" i="1" l="1"/>
  <c r="Y16" i="1"/>
  <c r="V15" i="1"/>
  <c r="Y14" i="1"/>
  <c r="Y31" i="1"/>
  <c r="Y30" i="1"/>
  <c r="R28" i="1"/>
  <c r="T28" i="1" s="1"/>
  <c r="Q19" i="1"/>
  <c r="O19" i="1"/>
  <c r="Q33" i="1"/>
  <c r="O33" i="1"/>
  <c r="P11" i="1"/>
  <c r="Q20" i="1"/>
  <c r="O20" i="1"/>
  <c r="O34" i="1"/>
  <c r="AD34" i="1"/>
  <c r="Y34" i="1"/>
  <c r="O13" i="1"/>
  <c r="Q13" i="1"/>
  <c r="R13" i="1" s="1"/>
  <c r="T13" i="1" s="1"/>
  <c r="Q27" i="1"/>
  <c r="O27" i="1"/>
  <c r="Y15" i="1"/>
  <c r="Y29" i="1"/>
  <c r="O16" i="1"/>
  <c r="Q30" i="1"/>
  <c r="O30" i="1"/>
  <c r="O17" i="1"/>
  <c r="O31" i="1"/>
  <c r="Q18" i="1"/>
  <c r="O18" i="1"/>
  <c r="Q32" i="1"/>
  <c r="O32" i="1"/>
  <c r="O14" i="1"/>
  <c r="Q28" i="1"/>
  <c r="O28" i="1"/>
  <c r="O15" i="1"/>
  <c r="Q29" i="1"/>
  <c r="O29" i="1"/>
  <c r="Y27" i="1"/>
  <c r="Y13" i="1"/>
  <c r="V16" i="1"/>
  <c r="V19" i="1"/>
  <c r="V33" i="1"/>
  <c r="V13" i="1"/>
  <c r="V14" i="1"/>
  <c r="V28" i="1"/>
  <c r="V17" i="1"/>
  <c r="V20" i="1"/>
  <c r="V31" i="1"/>
  <c r="V18" i="1"/>
  <c r="V32" i="1"/>
  <c r="AB29" i="1"/>
  <c r="U11" i="1"/>
  <c r="AB17" i="1"/>
  <c r="AB31" i="1"/>
  <c r="G28" i="1"/>
  <c r="AB28" i="1"/>
  <c r="AC28" i="1" s="1"/>
  <c r="AA28" i="1"/>
  <c r="AB15" i="1"/>
  <c r="V34" i="1"/>
  <c r="G16" i="1"/>
  <c r="AB16" i="1"/>
  <c r="AC16" i="1" s="1"/>
  <c r="AA16" i="1"/>
  <c r="G30" i="1"/>
  <c r="AB30" i="1"/>
  <c r="AC30" i="1" s="1"/>
  <c r="AA30" i="1"/>
  <c r="G18" i="1"/>
  <c r="AB18" i="1"/>
  <c r="AC18" i="1" s="1"/>
  <c r="AA18" i="1"/>
  <c r="G32" i="1"/>
  <c r="AB32" i="1"/>
  <c r="AC32" i="1" s="1"/>
  <c r="AA32" i="1"/>
  <c r="AB19" i="1"/>
  <c r="AB33" i="1"/>
  <c r="G14" i="1"/>
  <c r="AB14" i="1"/>
  <c r="AC14" i="1" s="1"/>
  <c r="AA14" i="1"/>
  <c r="AB20" i="1"/>
  <c r="AB34" i="1"/>
  <c r="AB13" i="1"/>
  <c r="AB27" i="1"/>
  <c r="AF13" i="1"/>
  <c r="L13" i="1"/>
  <c r="G13" i="1" s="1"/>
  <c r="G25" i="1"/>
  <c r="L27" i="1"/>
  <c r="E27" i="1" s="1"/>
  <c r="G11" i="1"/>
  <c r="AE13" i="1" s="1"/>
  <c r="AE14" i="1" s="1"/>
  <c r="J27" i="1" l="1"/>
  <c r="M27" i="1" s="1"/>
  <c r="N27" i="1" s="1"/>
  <c r="L28" i="1"/>
  <c r="E28" i="1" s="1"/>
  <c r="J28" i="1" s="1"/>
  <c r="U27" i="1"/>
  <c r="L35" i="1"/>
  <c r="U35" i="1"/>
  <c r="AK21" i="1"/>
  <c r="M35" i="1"/>
  <c r="U13" i="1"/>
  <c r="E13" i="1" s="1"/>
  <c r="J13" i="1" s="1"/>
  <c r="M13" i="1" s="1"/>
  <c r="L14" i="1"/>
  <c r="AF14" i="1"/>
  <c r="AE15" i="1"/>
  <c r="AF15" i="1"/>
  <c r="Q14" i="1" l="1"/>
  <c r="R14" i="1" s="1"/>
  <c r="T14" i="1" s="1"/>
  <c r="N13" i="1"/>
  <c r="P13" i="1"/>
  <c r="AH2" i="1"/>
  <c r="AI2" i="1" s="1"/>
  <c r="AH1" i="1"/>
  <c r="AI1" i="1" s="1"/>
  <c r="AK10" i="1"/>
  <c r="AK12" i="1"/>
  <c r="AK11" i="1"/>
  <c r="U14" i="1"/>
  <c r="E14" i="1" s="1"/>
  <c r="J14" i="1" s="1"/>
  <c r="M14" i="1" s="1"/>
  <c r="N14" i="1" s="1"/>
  <c r="L29" i="1"/>
  <c r="E29" i="1" s="1"/>
  <c r="J29" i="1" s="1"/>
  <c r="M28" i="1"/>
  <c r="N28" i="1" s="1"/>
  <c r="U28" i="1"/>
  <c r="L15" i="1"/>
  <c r="Q15" i="1" s="1"/>
  <c r="R15" i="1" s="1"/>
  <c r="T15" i="1" s="1"/>
  <c r="AE16" i="1"/>
  <c r="AF16" i="1"/>
  <c r="S13" i="1" l="1"/>
  <c r="F13" i="1" s="1"/>
  <c r="P14" i="1"/>
  <c r="S14" i="1" s="1"/>
  <c r="F14" i="1" s="1"/>
  <c r="U15" i="1"/>
  <c r="E15" i="1" s="1"/>
  <c r="J15" i="1" s="1"/>
  <c r="M15" i="1" s="1"/>
  <c r="L30" i="1"/>
  <c r="E30" i="1" s="1"/>
  <c r="J30" i="1" s="1"/>
  <c r="M29" i="1"/>
  <c r="N29" i="1" s="1"/>
  <c r="U29" i="1"/>
  <c r="L16" i="1"/>
  <c r="Q16" i="1" s="1"/>
  <c r="R16" i="1" s="1"/>
  <c r="T16" i="1" s="1"/>
  <c r="AE17" i="1"/>
  <c r="AF17" i="1"/>
  <c r="N15" i="1" l="1"/>
  <c r="P15" i="1" s="1"/>
  <c r="U16" i="1"/>
  <c r="E16" i="1" s="1"/>
  <c r="J16" i="1" s="1"/>
  <c r="M16" i="1" s="1"/>
  <c r="N16" i="1" s="1"/>
  <c r="L31" i="1"/>
  <c r="E31" i="1" s="1"/>
  <c r="J31" i="1" s="1"/>
  <c r="M30" i="1"/>
  <c r="N30" i="1" s="1"/>
  <c r="U30" i="1"/>
  <c r="L17" i="1"/>
  <c r="Q17" i="1" s="1"/>
  <c r="R17" i="1" s="1"/>
  <c r="T17" i="1" s="1"/>
  <c r="AE18" i="1"/>
  <c r="AF18" i="1"/>
  <c r="P16" i="1" l="1"/>
  <c r="S15" i="1"/>
  <c r="F15" i="1" s="1"/>
  <c r="Q31" i="1"/>
  <c r="R31" i="1" s="1"/>
  <c r="T31" i="1" s="1"/>
  <c r="U17" i="1"/>
  <c r="E17" i="1" s="1"/>
  <c r="J17" i="1" s="1"/>
  <c r="M17" i="1" s="1"/>
  <c r="N17" i="1" s="1"/>
  <c r="M31" i="1"/>
  <c r="U31" i="1"/>
  <c r="L32" i="1"/>
  <c r="E32" i="1" s="1"/>
  <c r="J32" i="1" s="1"/>
  <c r="L18" i="1"/>
  <c r="AE19" i="1"/>
  <c r="AF19" i="1"/>
  <c r="D37" i="1"/>
  <c r="D38" i="1"/>
  <c r="U18" i="1" l="1"/>
  <c r="E18" i="1" s="1"/>
  <c r="J18" i="1" s="1"/>
  <c r="M18" i="1" s="1"/>
  <c r="N18" i="1" s="1"/>
  <c r="P17" i="1"/>
  <c r="S16" i="1"/>
  <c r="F16" i="1" s="1"/>
  <c r="M32" i="1"/>
  <c r="N32" i="1" s="1"/>
  <c r="U32" i="1"/>
  <c r="L33" i="1"/>
  <c r="E33" i="1" s="1"/>
  <c r="L19" i="1"/>
  <c r="AE20" i="1"/>
  <c r="AF20" i="1"/>
  <c r="J33" i="1" l="1"/>
  <c r="M33" i="1" s="1"/>
  <c r="N33" i="1" s="1"/>
  <c r="P18" i="1"/>
  <c r="S17" i="1"/>
  <c r="F17" i="1" s="1"/>
  <c r="P32" i="1"/>
  <c r="U19" i="1"/>
  <c r="E19" i="1" s="1"/>
  <c r="J19" i="1" s="1"/>
  <c r="M19" i="1" s="1"/>
  <c r="N19" i="1" s="1"/>
  <c r="U33" i="1"/>
  <c r="L34" i="1"/>
  <c r="Q34" i="1" s="1"/>
  <c r="R34" i="1" s="1"/>
  <c r="T34" i="1" s="1"/>
  <c r="L20" i="1"/>
  <c r="E34" i="1" l="1"/>
  <c r="J34" i="1" s="1"/>
  <c r="G34" i="1"/>
  <c r="G40" i="1" s="1"/>
  <c r="J1" i="1" s="1"/>
  <c r="H37" i="1" s="1"/>
  <c r="P19" i="1"/>
  <c r="S18" i="1"/>
  <c r="F18" i="1" s="1"/>
  <c r="P33" i="1"/>
  <c r="S32" i="1"/>
  <c r="F32" i="1" s="1"/>
  <c r="AK19" i="1"/>
  <c r="U20" i="1"/>
  <c r="E20" i="1" s="1"/>
  <c r="J20" i="1" s="1"/>
  <c r="M20" i="1" s="1"/>
  <c r="M34" i="1"/>
  <c r="N34" i="1" s="1"/>
  <c r="U34" i="1"/>
  <c r="AE27" i="1"/>
  <c r="AE28" i="1" s="1"/>
  <c r="AE29" i="1" s="1"/>
  <c r="AE30" i="1" s="1"/>
  <c r="AE31" i="1" s="1"/>
  <c r="AE32" i="1" s="1"/>
  <c r="AE33" i="1" s="1"/>
  <c r="AE34" i="1" s="1"/>
  <c r="AK18" i="1" l="1"/>
  <c r="AK15" i="1"/>
  <c r="M38" i="1"/>
  <c r="E40" i="1"/>
  <c r="N20" i="1"/>
  <c r="M37" i="1"/>
  <c r="P20" i="1"/>
  <c r="S19" i="1"/>
  <c r="F19" i="1" s="1"/>
  <c r="P34" i="1"/>
  <c r="S34" i="1" s="1"/>
  <c r="F34" i="1" s="1"/>
  <c r="S33" i="1"/>
  <c r="F33" i="1" s="1"/>
  <c r="AK16" i="1"/>
  <c r="AK17" i="1"/>
  <c r="M40" i="1" l="1"/>
  <c r="S20" i="1"/>
  <c r="F20" i="1" s="1"/>
  <c r="P27" i="1"/>
  <c r="S27" i="1" l="1"/>
  <c r="F27" i="1" s="1"/>
  <c r="P28" i="1"/>
  <c r="S28" i="1" l="1"/>
  <c r="F28" i="1" s="1"/>
  <c r="P29" i="1"/>
  <c r="P30" i="1" l="1"/>
  <c r="S29" i="1"/>
  <c r="F29" i="1" s="1"/>
  <c r="P31" i="1" l="1"/>
  <c r="S31" i="1" s="1"/>
  <c r="F31" i="1" s="1"/>
  <c r="S30" i="1"/>
  <c r="F30" i="1" s="1"/>
  <c r="F40" i="1" l="1"/>
  <c r="I37" i="1" l="1"/>
  <c r="J37" i="1" s="1"/>
  <c r="I40" i="1" s="1"/>
</calcChain>
</file>

<file path=xl/sharedStrings.xml><?xml version="1.0" encoding="utf-8"?>
<sst xmlns="http://schemas.openxmlformats.org/spreadsheetml/2006/main" count="141" uniqueCount="105">
  <si>
    <t>WORKSHEET FOR TEAPP MANDATORY TRAVEL</t>
  </si>
  <si>
    <t>USPTO Headquarters Alexandria, VA</t>
  </si>
  <si>
    <t>Regular Duty Hours:</t>
  </si>
  <si>
    <t>Schedule</t>
  </si>
  <si>
    <t>Start</t>
  </si>
  <si>
    <t>End</t>
  </si>
  <si>
    <t>Days</t>
  </si>
  <si>
    <t>IFP</t>
  </si>
  <si>
    <t>Monday</t>
  </si>
  <si>
    <t>Saturday</t>
  </si>
  <si>
    <t>thru</t>
  </si>
  <si>
    <t>Hours Authorized for Travel:</t>
  </si>
  <si>
    <t>Departure (Official Duty Station "ODS"):</t>
  </si>
  <si>
    <t>Temporary Duty Station ("TDS") :</t>
  </si>
  <si>
    <t>Did you travel to ODS as specified in Travel Orders:</t>
  </si>
  <si>
    <t>Did you travel to TDS as specified in Travel Orders:</t>
  </si>
  <si>
    <t>Start Time (Eastern)</t>
  </si>
  <si>
    <t>Stop Time (Eastern)</t>
  </si>
  <si>
    <t>Date Start:</t>
  </si>
  <si>
    <t>Date End:</t>
  </si>
  <si>
    <t>Travel to TDS</t>
  </si>
  <si>
    <t>Drive to TDS/hotel or commute to airport</t>
  </si>
  <si>
    <t>Commute to Hotel or TDS from Airport</t>
  </si>
  <si>
    <t>(1)Wait at Airport for travel to TDS</t>
  </si>
  <si>
    <t>(1)Flight time for travel to TDS</t>
  </si>
  <si>
    <t>(2)Wait at Airport for travel to TDS</t>
  </si>
  <si>
    <t>(2)Flight time for travel to TDS</t>
  </si>
  <si>
    <t>(3)Wait at Airport for travel to TDS</t>
  </si>
  <si>
    <t>(3)Flight time for travel to TDS</t>
  </si>
  <si>
    <t xml:space="preserve">Total Hrs (est .25 Hr) </t>
  </si>
  <si>
    <t>Hrs Outside Reg Duty Hrs</t>
  </si>
  <si>
    <t>Hrs over 12 Reg Duty Hrs</t>
  </si>
  <si>
    <t>Noncreditable Commuting Hrs</t>
  </si>
  <si>
    <t xml:space="preserve">Notes </t>
  </si>
  <si>
    <t>Work at TDS</t>
  </si>
  <si>
    <t>Travel from TDS</t>
  </si>
  <si>
    <t>Work Hours at ODS - Before Travel on Same Day as Travel to TDS (Total Hrs excluding Lunch &amp; Breaks):</t>
  </si>
  <si>
    <t>Work Hours at ODS - After Travel on Same Day as Travel from TDS (Total Hrs excluding Lunch &amp; Breaks):</t>
  </si>
  <si>
    <t>Travel w/in 50 miles of ODS that occurs outside of regular duty hours is not creditable</t>
  </si>
  <si>
    <t>Max 2 hrs. per airport</t>
  </si>
  <si>
    <t>From Board to Deplane</t>
  </si>
  <si>
    <t>Commute from TDS/hotel to airport</t>
  </si>
  <si>
    <t xml:space="preserve">From arrival at airport to arrival at hotel or TDS </t>
  </si>
  <si>
    <t>From departure from TDS/hotel to arrival at airport</t>
  </si>
  <si>
    <t>Authorized Travel Hours</t>
  </si>
  <si>
    <t>Actual Travel Hours</t>
  </si>
  <si>
    <t>Non Travel Work Hours</t>
  </si>
  <si>
    <t>Total</t>
  </si>
  <si>
    <t>Comp Time Off for Travel</t>
  </si>
  <si>
    <t>Work Hours at TDS (excluding Lunch &amp; Breaks) - Day 1:</t>
  </si>
  <si>
    <t>Work Hours at TDS (excluding Lunch &amp; Breaks) - Day 2:</t>
  </si>
  <si>
    <t>Work Hours at TDS (excluding Lunch &amp; Breaks) - Day 3:</t>
  </si>
  <si>
    <t>Drive from TDS/Airport to ODS</t>
  </si>
  <si>
    <t>Day of the Week</t>
  </si>
  <si>
    <t>Hrs after 10:00 pm</t>
  </si>
  <si>
    <t>Hrs before 5:30 am</t>
  </si>
  <si>
    <t>Day 1</t>
  </si>
  <si>
    <t>Day2</t>
  </si>
  <si>
    <t>Cap</t>
  </si>
  <si>
    <t>Day Calc</t>
  </si>
  <si>
    <t>Calc 8 below atODS on new day</t>
  </si>
  <si>
    <t>Cumul Hrs Fwd</t>
  </si>
  <si>
    <t>Cumul Hrs Back</t>
  </si>
  <si>
    <t>Reg Hrs</t>
  </si>
  <si>
    <t>Day 1 (after 10) + Day2</t>
  </si>
  <si>
    <t>Sunday Hrs</t>
  </si>
  <si>
    <t>Work Hrs</t>
  </si>
  <si>
    <t>ODS Wk Day</t>
  </si>
  <si>
    <t>TDS 1</t>
  </si>
  <si>
    <t>TDS 2</t>
  </si>
  <si>
    <t>TDS 3</t>
  </si>
  <si>
    <t>During IFP Hrs</t>
  </si>
  <si>
    <t>Cap Hrs IFP</t>
  </si>
  <si>
    <t>Day 2</t>
  </si>
  <si>
    <t>Day 3</t>
  </si>
  <si>
    <t>Day 4</t>
  </si>
  <si>
    <t>Day 5</t>
  </si>
  <si>
    <t>Local Start NC</t>
  </si>
  <si>
    <t>Total Non IFP</t>
  </si>
  <si>
    <t>Commuting Hours Caps/Offsets</t>
  </si>
  <si>
    <t>Day 2 Reg Hrs</t>
  </si>
  <si>
    <t>Day1</t>
  </si>
  <si>
    <t>ODS/TDS Work Hrs</t>
  </si>
  <si>
    <t>Cum Reg Hrs (Day 1)</t>
  </si>
  <si>
    <t>Cum Reg Hrs (Day 2)</t>
  </si>
  <si>
    <t>Day 1 Reg Hrs</t>
  </si>
  <si>
    <t>Overage Day1</t>
  </si>
  <si>
    <t>Overage Day2</t>
  </si>
  <si>
    <t>Sunday</t>
  </si>
  <si>
    <t>IFP Hrs</t>
  </si>
  <si>
    <t>5:30 to 10</t>
  </si>
  <si>
    <t>KEY</t>
  </si>
  <si>
    <t>Requires Input</t>
  </si>
  <si>
    <t>Claimable Time</t>
  </si>
  <si>
    <t>Relates to Air Travel Only</t>
  </si>
  <si>
    <t>Intentionally Blank</t>
  </si>
  <si>
    <t>Travel Time (Reg Duty Hrs)</t>
  </si>
  <si>
    <t>Total Trip Hrs over 12 Reg Duty Hrs</t>
  </si>
  <si>
    <t>Total Trip Hrs Outside Reg Duty Hrs</t>
  </si>
  <si>
    <t>Total Trip Noncreditable Commuting Hrs</t>
  </si>
  <si>
    <t>YES</t>
  </si>
  <si>
    <t>NO</t>
  </si>
  <si>
    <t>Claimable Hrs for Trip</t>
  </si>
  <si>
    <t>Sarasota, FL</t>
  </si>
  <si>
    <t>Total Travel and Work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</si>
</sst>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09]h:mm\ AM/P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1" fillId="5" borderId="29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0" fillId="5" borderId="16" xfId="0" applyNumberFormat="1" applyFill="1" applyBorder="1" applyAlignment="1">
      <alignment wrapText="1"/>
    </xf>
    <xf numFmtId="2" fontId="0" fillId="0" borderId="16" xfId="0" applyNumberFormat="1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165" fontId="0" fillId="4" borderId="16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2" fontId="0" fillId="4" borderId="7" xfId="0" applyNumberFormat="1" applyFill="1" applyBorder="1" applyAlignment="1">
      <alignment wrapText="1"/>
    </xf>
    <xf numFmtId="2" fontId="0" fillId="4" borderId="2" xfId="0" applyNumberFormat="1" applyFill="1" applyBorder="1" applyAlignment="1">
      <alignment wrapText="1"/>
    </xf>
    <xf numFmtId="2" fontId="0" fillId="4" borderId="35" xfId="0" applyNumberFormat="1" applyFill="1" applyBorder="1" applyAlignment="1">
      <alignment wrapText="1"/>
    </xf>
    <xf numFmtId="2" fontId="0" fillId="4" borderId="22" xfId="0" applyNumberFormat="1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2" fontId="0" fillId="0" borderId="0" xfId="0" applyNumberFormat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2" fontId="0" fillId="0" borderId="12" xfId="0" applyNumberFormat="1" applyBorder="1" applyAlignment="1">
      <alignment wrapText="1"/>
    </xf>
    <xf numFmtId="0" fontId="0" fillId="0" borderId="14" xfId="0" applyBorder="1"/>
    <xf numFmtId="2" fontId="0" fillId="0" borderId="17" xfId="0" applyNumberFormat="1" applyBorder="1"/>
    <xf numFmtId="0" fontId="0" fillId="0" borderId="12" xfId="0" applyBorder="1"/>
    <xf numFmtId="164" fontId="0" fillId="0" borderId="12" xfId="0" applyNumberFormat="1" applyBorder="1"/>
    <xf numFmtId="0" fontId="0" fillId="0" borderId="17" xfId="0" applyBorder="1"/>
    <xf numFmtId="0" fontId="0" fillId="0" borderId="6" xfId="0" applyBorder="1"/>
    <xf numFmtId="0" fontId="0" fillId="0" borderId="0" xfId="0" applyBorder="1"/>
    <xf numFmtId="2" fontId="0" fillId="0" borderId="11" xfId="0" applyNumberFormat="1" applyBorder="1"/>
    <xf numFmtId="2" fontId="0" fillId="0" borderId="0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7" borderId="12" xfId="0" applyNumberFormat="1" applyFill="1" applyBorder="1"/>
    <xf numFmtId="2" fontId="0" fillId="0" borderId="37" xfId="0" applyNumberFormat="1" applyBorder="1"/>
    <xf numFmtId="2" fontId="0" fillId="0" borderId="38" xfId="0" applyNumberFormat="1" applyBorder="1"/>
    <xf numFmtId="2" fontId="0" fillId="7" borderId="39" xfId="0" applyNumberFormat="1" applyFill="1" applyBorder="1"/>
    <xf numFmtId="2" fontId="0" fillId="0" borderId="27" xfId="0" applyNumberFormat="1" applyBorder="1"/>
    <xf numFmtId="2" fontId="0" fillId="0" borderId="1" xfId="0" applyNumberFormat="1" applyBorder="1"/>
    <xf numFmtId="2" fontId="0" fillId="7" borderId="28" xfId="0" applyNumberFormat="1" applyFill="1" applyBorder="1"/>
    <xf numFmtId="2" fontId="0" fillId="0" borderId="40" xfId="0" applyNumberFormat="1" applyBorder="1"/>
    <xf numFmtId="2" fontId="0" fillId="0" borderId="41" xfId="0" applyNumberFormat="1" applyBorder="1"/>
    <xf numFmtId="2" fontId="0" fillId="7" borderId="42" xfId="0" applyNumberFormat="1" applyFill="1" applyBorder="1"/>
    <xf numFmtId="0" fontId="0" fillId="0" borderId="43" xfId="0" applyBorder="1" applyAlignment="1">
      <alignment wrapText="1"/>
    </xf>
    <xf numFmtId="2" fontId="0" fillId="0" borderId="36" xfId="0" applyNumberFormat="1" applyBorder="1"/>
    <xf numFmtId="2" fontId="0" fillId="0" borderId="44" xfId="0" applyNumberFormat="1" applyBorder="1"/>
    <xf numFmtId="2" fontId="0" fillId="6" borderId="16" xfId="0" applyNumberFormat="1" applyFill="1" applyBorder="1" applyAlignment="1">
      <alignment wrapText="1"/>
    </xf>
    <xf numFmtId="2" fontId="0" fillId="7" borderId="36" xfId="0" applyNumberFormat="1" applyFill="1" applyBorder="1" applyAlignment="1">
      <alignment wrapText="1"/>
    </xf>
    <xf numFmtId="0" fontId="1" fillId="0" borderId="31" xfId="0" applyFont="1" applyBorder="1"/>
    <xf numFmtId="0" fontId="0" fillId="2" borderId="45" xfId="0" applyFill="1" applyBorder="1"/>
    <xf numFmtId="0" fontId="1" fillId="0" borderId="32" xfId="0" applyFont="1" applyBorder="1"/>
    <xf numFmtId="0" fontId="0" fillId="8" borderId="46" xfId="0" applyFill="1" applyBorder="1"/>
    <xf numFmtId="0" fontId="0" fillId="5" borderId="46" xfId="0" applyFill="1" applyBorder="1"/>
    <xf numFmtId="0" fontId="1" fillId="0" borderId="33" xfId="0" applyFont="1" applyBorder="1"/>
    <xf numFmtId="0" fontId="0" fillId="6" borderId="47" xfId="0" applyFill="1" applyBorder="1"/>
    <xf numFmtId="2" fontId="0" fillId="0" borderId="30" xfId="0" applyNumberFormat="1" applyBorder="1" applyAlignment="1">
      <alignment wrapText="1"/>
    </xf>
    <xf numFmtId="2" fontId="0" fillId="0" borderId="29" xfId="0" applyNumberFormat="1" applyBorder="1" applyAlignment="1">
      <alignment wrapText="1"/>
    </xf>
    <xf numFmtId="2" fontId="0" fillId="0" borderId="16" xfId="0" applyNumberFormat="1" applyBorder="1" applyAlignment="1">
      <alignment wrapText="1"/>
    </xf>
    <xf numFmtId="2" fontId="0" fillId="7" borderId="44" xfId="0" applyNumberFormat="1" applyFill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7" borderId="43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8" fontId="0" fillId="3" borderId="1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13" xfId="0" applyFill="1" applyBorder="1" applyAlignment="1">
      <alignment wrapText="1"/>
    </xf>
    <xf numFmtId="2" fontId="0" fillId="3" borderId="7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2" fontId="0" fillId="3" borderId="35" xfId="0" applyNumberFormat="1" applyFill="1" applyBorder="1" applyAlignment="1">
      <alignment wrapText="1"/>
    </xf>
    <xf numFmtId="2" fontId="0" fillId="7" borderId="47" xfId="0" applyNumberFormat="1" applyFill="1" applyBorder="1" applyAlignment="1">
      <alignment wrapText="1"/>
    </xf>
    <xf numFmtId="0" fontId="1" fillId="7" borderId="4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48" xfId="0" applyFont="1" applyBorder="1" applyAlignment="1">
      <alignment wrapText="1"/>
    </xf>
    <xf numFmtId="0" fontId="0" fillId="0" borderId="49" xfId="0" applyBorder="1" applyAlignment="1">
      <alignment wrapText="1"/>
    </xf>
    <xf numFmtId="0" fontId="0" fillId="0" borderId="37" xfId="0" applyBorder="1" applyAlignment="1">
      <alignment wrapText="1"/>
    </xf>
    <xf numFmtId="0" fontId="1" fillId="0" borderId="50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38" xfId="0" applyBorder="1" applyAlignment="1">
      <alignment wrapText="1"/>
    </xf>
    <xf numFmtId="0" fontId="1" fillId="0" borderId="52" xfId="0" applyFont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39" xfId="0" applyBorder="1" applyAlignment="1">
      <alignment wrapText="1"/>
    </xf>
    <xf numFmtId="164" fontId="0" fillId="4" borderId="21" xfId="0" applyNumberForma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164" fontId="0" fillId="3" borderId="21" xfId="0" applyNumberForma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2" fillId="5" borderId="30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" fillId="3" borderId="24" xfId="0" applyFont="1" applyFill="1" applyBorder="1" applyAlignment="1">
      <alignment horizontal="right" wrapText="1"/>
    </xf>
    <xf numFmtId="0" fontId="0" fillId="3" borderId="25" xfId="0" applyFill="1" applyBorder="1" applyAlignment="1">
      <alignment horizontal="right"/>
    </xf>
    <xf numFmtId="0" fontId="1" fillId="3" borderId="27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0" fontId="1" fillId="3" borderId="29" xfId="0" applyFont="1" applyFill="1" applyBorder="1" applyAlignment="1">
      <alignment horizontal="right" wrapText="1"/>
    </xf>
    <xf numFmtId="0" fontId="0" fillId="3" borderId="16" xfId="0" applyFill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3" borderId="23" xfId="0" applyFill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8" xfId="0" applyBorder="1" applyAlignment="1">
      <alignment wrapText="1"/>
    </xf>
    <xf numFmtId="164" fontId="0" fillId="4" borderId="7" xfId="0" applyNumberFormat="1" applyFill="1" applyBorder="1" applyAlignment="1">
      <alignment wrapText="1"/>
    </xf>
    <xf numFmtId="0" fontId="0" fillId="4" borderId="54" xfId="0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13" xfId="0" applyNumberFormat="1" applyFill="1" applyBorder="1" applyAlignment="1">
      <alignment wrapText="1"/>
    </xf>
    <xf numFmtId="164" fontId="0" fillId="4" borderId="35" xfId="0" applyNumberFormat="1" applyFill="1" applyBorder="1" applyAlignment="1">
      <alignment wrapText="1"/>
    </xf>
    <xf numFmtId="164" fontId="0" fillId="4" borderId="55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workbookViewId="0">
      <selection activeCell="D38" sqref="D38"/>
    </sheetView>
  </sheetViews>
  <sheetFormatPr defaultRowHeight="15" x14ac:dyDescent="0.25"/>
  <cols>
    <col min="1" max="1" width="32" customWidth="1"/>
    <col min="2" max="2" width="10.85546875" customWidth="1"/>
    <col min="3" max="3" width="10.28515625" customWidth="1"/>
    <col min="4" max="4" width="11.28515625" customWidth="1"/>
    <col min="5" max="5" width="13.42578125" customWidth="1"/>
    <col min="6" max="6" width="12.42578125" customWidth="1"/>
    <col min="7" max="7" width="13.7109375" customWidth="1"/>
    <col min="8" max="8" width="12.85546875" customWidth="1"/>
    <col min="9" max="9" width="23.5703125" bestFit="1" customWidth="1"/>
    <col min="10" max="10" width="4.5703125" hidden="1" customWidth="1"/>
    <col min="11" max="11" width="8.28515625" hidden="1" customWidth="1"/>
    <col min="12" max="12" width="10" hidden="1" customWidth="1"/>
    <col min="13" max="13" width="7.5703125" hidden="1" customWidth="1"/>
    <col min="14" max="15" width="9.42578125" hidden="1" customWidth="1"/>
    <col min="16" max="16" width="10.42578125" hidden="1" customWidth="1"/>
    <col min="17" max="17" width="9" hidden="1" customWidth="1"/>
    <col min="18" max="18" width="10.42578125" hidden="1" customWidth="1"/>
    <col min="19" max="20" width="8.42578125" hidden="1" customWidth="1"/>
    <col min="21" max="21" width="7.42578125" hidden="1" customWidth="1"/>
    <col min="22" max="22" width="11.140625" hidden="1" customWidth="1"/>
    <col min="23" max="23" width="10.28515625" hidden="1" customWidth="1"/>
    <col min="24" max="24" width="8.85546875" hidden="1" customWidth="1"/>
    <col min="25" max="25" width="9.5703125" hidden="1" customWidth="1"/>
    <col min="26" max="26" width="10.140625" hidden="1" customWidth="1"/>
    <col min="27" max="27" width="9.42578125" hidden="1" customWidth="1"/>
    <col min="28" max="28" width="7" hidden="1" customWidth="1"/>
    <col min="29" max="29" width="7.5703125" hidden="1" customWidth="1"/>
    <col min="30" max="30" width="8.140625" hidden="1" customWidth="1"/>
    <col min="31" max="31" width="8" hidden="1" customWidth="1"/>
    <col min="32" max="32" width="29" hidden="1" customWidth="1"/>
    <col min="33" max="34" width="9.140625" hidden="1" customWidth="1"/>
    <col min="35" max="35" width="9.28515625" hidden="1" customWidth="1"/>
    <col min="36" max="36" width="11.7109375" hidden="1" customWidth="1"/>
    <col min="37" max="37" width="9" hidden="1" customWidth="1"/>
  </cols>
  <sheetData>
    <row r="1" spans="1:37" ht="15.75" thickBot="1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>
        <f>IF(D7="YES",IF(D8="YES",D38-(G40),MIN(D37,D38-(G40))),MIN(D37,D38-(G40)))</f>
        <v>18</v>
      </c>
      <c r="K1" t="s">
        <v>100</v>
      </c>
      <c r="AG1" t="s">
        <v>81</v>
      </c>
      <c r="AH1">
        <f>IF(L11=L35,IF(M22=0,IF(M23=0,M11+M24+M35,M11+M23+M35),M11+M22+M35),IF(L11=L24,IF(M22=0,IF(M23=0,M11+M24,M11+M23),M11+M22),M11))</f>
        <v>0</v>
      </c>
      <c r="AI1">
        <f>IF(AH1&gt;12,12,AH1)</f>
        <v>0</v>
      </c>
    </row>
    <row r="2" spans="1:37" ht="14.25" customHeight="1" thickTop="1" x14ac:dyDescent="0.25">
      <c r="A2" s="143" t="s">
        <v>12</v>
      </c>
      <c r="B2" s="144"/>
      <c r="C2" s="135" t="s">
        <v>103</v>
      </c>
      <c r="D2" s="136"/>
      <c r="E2" s="136"/>
      <c r="F2" s="137"/>
      <c r="G2" s="8"/>
      <c r="H2" s="1"/>
      <c r="I2" s="1"/>
      <c r="K2" t="s">
        <v>101</v>
      </c>
      <c r="AG2" t="s">
        <v>57</v>
      </c>
      <c r="AH2">
        <f>IF(L35=L11,0,IF(L22=L35,IF(M22=0,IF(M23=0,M24+M35,M23+M35),M22+M35),IF(L23=L35,IF(M23=0,M24+M35,M23+M35),IF(L24=L35,M24+M35,IF(M22=0,IF(M23=0,M24,M23),M22)))))</f>
        <v>8</v>
      </c>
      <c r="AI2">
        <f t="shared" ref="AI2" si="0">IF(AH2&gt;12,12,AH2)</f>
        <v>8</v>
      </c>
    </row>
    <row r="3" spans="1:37" x14ac:dyDescent="0.25">
      <c r="A3" s="128" t="s">
        <v>13</v>
      </c>
      <c r="B3" s="145"/>
      <c r="C3" s="138" t="s">
        <v>1</v>
      </c>
      <c r="D3" s="139"/>
      <c r="E3" s="139"/>
      <c r="F3" s="140"/>
      <c r="G3" s="9"/>
      <c r="H3" s="1"/>
      <c r="I3" s="1"/>
    </row>
    <row r="4" spans="1:37" x14ac:dyDescent="0.25">
      <c r="A4" s="10"/>
      <c r="B4" s="7" t="s">
        <v>3</v>
      </c>
      <c r="C4" s="7" t="s">
        <v>4</v>
      </c>
      <c r="D4" s="7" t="s">
        <v>5</v>
      </c>
      <c r="E4" s="141" t="s">
        <v>6</v>
      </c>
      <c r="F4" s="141"/>
      <c r="G4" s="142"/>
      <c r="H4" s="1"/>
    </row>
    <row r="5" spans="1:37" x14ac:dyDescent="0.25">
      <c r="A5" s="11" t="s">
        <v>2</v>
      </c>
      <c r="B5" s="86" t="s">
        <v>7</v>
      </c>
      <c r="C5" s="87">
        <v>0.22916666666666666</v>
      </c>
      <c r="D5" s="87">
        <v>0.91666666666666663</v>
      </c>
      <c r="E5" s="88" t="s">
        <v>8</v>
      </c>
      <c r="F5" s="89" t="s">
        <v>10</v>
      </c>
      <c r="G5" s="90" t="s">
        <v>9</v>
      </c>
      <c r="H5" s="1"/>
    </row>
    <row r="6" spans="1:37" ht="15.75" thickBot="1" x14ac:dyDescent="0.3">
      <c r="A6" s="11" t="s">
        <v>11</v>
      </c>
      <c r="B6" s="4">
        <v>18</v>
      </c>
      <c r="C6" s="6"/>
      <c r="D6" s="6"/>
      <c r="E6" s="6"/>
      <c r="F6" s="6"/>
      <c r="G6" s="9"/>
      <c r="H6" s="1"/>
    </row>
    <row r="7" spans="1:37" ht="15.75" thickTop="1" x14ac:dyDescent="0.25">
      <c r="A7" s="128" t="s">
        <v>15</v>
      </c>
      <c r="B7" s="129"/>
      <c r="C7" s="129"/>
      <c r="D7" s="3" t="s">
        <v>100</v>
      </c>
      <c r="E7" s="6"/>
      <c r="F7" s="6"/>
      <c r="G7" s="9"/>
      <c r="H7" s="1"/>
      <c r="I7" s="1"/>
      <c r="AJ7" s="42"/>
      <c r="AK7" s="43" t="s">
        <v>66</v>
      </c>
    </row>
    <row r="8" spans="1:37" ht="15.75" thickBot="1" x14ac:dyDescent="0.3">
      <c r="A8" s="130" t="s">
        <v>14</v>
      </c>
      <c r="B8" s="131"/>
      <c r="C8" s="131"/>
      <c r="D8" s="12" t="s">
        <v>101</v>
      </c>
      <c r="E8" s="13"/>
      <c r="F8" s="13"/>
      <c r="G8" s="14"/>
      <c r="H8" s="1"/>
      <c r="I8" s="1"/>
      <c r="AJ8" s="44" t="s">
        <v>47</v>
      </c>
      <c r="AK8" s="45">
        <f>$D$10+$D$35+$D$22+$D$23+$D$24</f>
        <v>18</v>
      </c>
    </row>
    <row r="9" spans="1:37" ht="16.5" thickTop="1" thickBot="1" x14ac:dyDescent="0.3">
      <c r="A9" s="2"/>
      <c r="B9" s="2"/>
      <c r="C9" s="2"/>
      <c r="D9" s="5"/>
      <c r="E9" s="1"/>
      <c r="F9" s="1"/>
      <c r="G9" s="1"/>
      <c r="H9" s="1"/>
      <c r="I9" s="1"/>
      <c r="W9" s="42" t="s">
        <v>56</v>
      </c>
      <c r="X9" s="52"/>
      <c r="Y9" s="43"/>
      <c r="Z9" t="s">
        <v>57</v>
      </c>
      <c r="AA9" s="42" t="s">
        <v>79</v>
      </c>
      <c r="AB9" s="52"/>
      <c r="AC9" s="52"/>
      <c r="AD9" s="43"/>
      <c r="AJ9" s="44" t="s">
        <v>67</v>
      </c>
      <c r="AK9" s="45">
        <f>IF($L$11=$L$22,IF($L$22=$L$35,IF(($D$10+$D$22+$D$35)&gt;12,12,$D$10+$D$22+$D$35),IF(($D$10+$D$22)&gt;12,12,$D$10+$D$22)),$D$10)</f>
        <v>0</v>
      </c>
    </row>
    <row r="10" spans="1:37" s="1" customFormat="1" ht="30" customHeight="1" thickTop="1" thickBot="1" x14ac:dyDescent="0.3">
      <c r="A10" s="132" t="s">
        <v>36</v>
      </c>
      <c r="B10" s="133"/>
      <c r="C10" s="133"/>
      <c r="D10" s="38">
        <v>0</v>
      </c>
      <c r="E10" s="22"/>
      <c r="F10" s="22"/>
      <c r="G10" s="22"/>
      <c r="H10" s="22"/>
      <c r="I10" s="23"/>
      <c r="K10" s="34" t="s">
        <v>59</v>
      </c>
      <c r="L10" s="8" t="s">
        <v>53</v>
      </c>
      <c r="M10" s="34" t="s">
        <v>63</v>
      </c>
      <c r="N10" s="41" t="s">
        <v>85</v>
      </c>
      <c r="O10" s="8" t="s">
        <v>80</v>
      </c>
      <c r="P10" s="1" t="s">
        <v>83</v>
      </c>
      <c r="Q10" s="1" t="s">
        <v>82</v>
      </c>
      <c r="R10" s="1" t="s">
        <v>84</v>
      </c>
      <c r="S10" s="1" t="s">
        <v>86</v>
      </c>
      <c r="T10" s="1" t="s">
        <v>87</v>
      </c>
      <c r="U10" s="68" t="s">
        <v>65</v>
      </c>
      <c r="V10" s="1" t="s">
        <v>64</v>
      </c>
      <c r="W10" s="10" t="s">
        <v>55</v>
      </c>
      <c r="X10" s="27" t="s">
        <v>54</v>
      </c>
      <c r="Y10" s="9" t="s">
        <v>78</v>
      </c>
      <c r="Z10" s="1" t="s">
        <v>55</v>
      </c>
      <c r="AA10" s="10" t="s">
        <v>58</v>
      </c>
      <c r="AB10" s="27" t="s">
        <v>71</v>
      </c>
      <c r="AC10" s="27" t="s">
        <v>72</v>
      </c>
      <c r="AD10" s="9" t="s">
        <v>77</v>
      </c>
      <c r="AE10" s="1" t="s">
        <v>61</v>
      </c>
      <c r="AF10" s="1" t="s">
        <v>62</v>
      </c>
      <c r="AJ10" s="10" t="s">
        <v>68</v>
      </c>
      <c r="AK10" s="46">
        <f>IF($L$22=$L$35,IF(($D$22+$D$35)&gt;12,12,$D$22+$D$35),IF($D$22&gt;12,12,$D$22))</f>
        <v>8</v>
      </c>
    </row>
    <row r="11" spans="1:37" ht="15" customHeight="1" thickTop="1" thickBot="1" x14ac:dyDescent="0.3">
      <c r="A11" s="17" t="s">
        <v>20</v>
      </c>
      <c r="B11" s="18" t="s">
        <v>18</v>
      </c>
      <c r="C11" s="106">
        <v>43690</v>
      </c>
      <c r="D11" s="107"/>
      <c r="E11" s="108"/>
      <c r="F11" s="18" t="s">
        <v>19</v>
      </c>
      <c r="G11" s="109">
        <f>C11+SUM(K13:K20)</f>
        <v>43691</v>
      </c>
      <c r="H11" s="110"/>
      <c r="I11" s="111"/>
      <c r="J11" s="40"/>
      <c r="K11" s="54">
        <f>WEEKDAY(C11)</f>
        <v>3</v>
      </c>
      <c r="L11" s="45">
        <f>WEEKDAY(C11)</f>
        <v>3</v>
      </c>
      <c r="M11" s="54">
        <f>IF(K11&gt;1,$D$10,0)</f>
        <v>0</v>
      </c>
      <c r="N11" s="55"/>
      <c r="O11" s="45"/>
      <c r="P11" s="40">
        <f>M11</f>
        <v>0</v>
      </c>
      <c r="Q11" s="40"/>
      <c r="R11" s="40"/>
      <c r="S11" s="40"/>
      <c r="T11" s="40"/>
      <c r="U11" s="69">
        <f>IF(K11=1,D10,0)</f>
        <v>0</v>
      </c>
      <c r="W11" s="44"/>
      <c r="X11" s="53"/>
      <c r="Y11" s="49"/>
      <c r="AA11" s="44"/>
      <c r="AB11" s="53"/>
      <c r="AC11" s="53"/>
      <c r="AD11" s="49"/>
      <c r="AE11" s="40">
        <f>IF(C21=C11,D10+D22,D10)</f>
        <v>0</v>
      </c>
      <c r="AJ11" s="44" t="s">
        <v>69</v>
      </c>
      <c r="AK11" s="45">
        <f>IF($L$23=$L$35,IF(($D$23+$D$35)&gt;12,12,$D$23+$D$35),IF($D$23&gt;12,12,$D$23))</f>
        <v>2</v>
      </c>
    </row>
    <row r="12" spans="1:37" ht="45.75" thickTop="1" x14ac:dyDescent="0.25">
      <c r="A12" s="19"/>
      <c r="B12" s="20" t="s">
        <v>16</v>
      </c>
      <c r="C12" s="20" t="s">
        <v>17</v>
      </c>
      <c r="D12" s="20" t="s">
        <v>29</v>
      </c>
      <c r="E12" s="20" t="s">
        <v>30</v>
      </c>
      <c r="F12" s="20" t="s">
        <v>31</v>
      </c>
      <c r="G12" s="20" t="s">
        <v>32</v>
      </c>
      <c r="H12" s="112" t="s">
        <v>33</v>
      </c>
      <c r="I12" s="113"/>
      <c r="J12" s="40"/>
      <c r="K12" s="54"/>
      <c r="L12" s="45"/>
      <c r="M12" s="54"/>
      <c r="N12" s="55"/>
      <c r="O12" s="45"/>
      <c r="P12" s="40"/>
      <c r="Q12" s="40"/>
      <c r="R12" s="40"/>
      <c r="S12" s="40"/>
      <c r="T12" s="40"/>
      <c r="U12" s="69"/>
      <c r="W12" s="44"/>
      <c r="X12" s="53"/>
      <c r="Y12" s="49"/>
      <c r="AA12" s="44"/>
      <c r="AB12" s="53"/>
      <c r="AC12" s="53"/>
      <c r="AD12" s="49"/>
      <c r="AJ12" s="44" t="s">
        <v>70</v>
      </c>
      <c r="AK12" s="45">
        <f>IF($L$24=$L$35,IF(($D$24+$D$35)&gt;12,12,$D$24+$D$35),IF($D$24&gt;12,12,$D$24))</f>
        <v>0</v>
      </c>
    </row>
    <row r="13" spans="1:37" ht="39.75" customHeight="1" thickBot="1" x14ac:dyDescent="0.3">
      <c r="A13" s="21" t="s">
        <v>21</v>
      </c>
      <c r="B13" s="32">
        <v>0.625</v>
      </c>
      <c r="C13" s="32">
        <v>0.6875</v>
      </c>
      <c r="D13" s="28">
        <f>IF(B13&gt;C13,(B13-1-C13)*(-24),(C13-B13)*24)</f>
        <v>1.5</v>
      </c>
      <c r="E13" s="28">
        <f t="shared" ref="E13:E20" si="1">IF(L13&gt;1,SUM(Y13:Z13),U13)</f>
        <v>0</v>
      </c>
      <c r="F13" s="28">
        <f>S13+T13</f>
        <v>0</v>
      </c>
      <c r="G13" s="28">
        <f>IF(L13=1,IF(E13&gt;1,E13-1,E13),AD13)</f>
        <v>0</v>
      </c>
      <c r="H13" s="114" t="s">
        <v>38</v>
      </c>
      <c r="I13" s="115"/>
      <c r="J13" s="40">
        <f>D13-E13</f>
        <v>1.5</v>
      </c>
      <c r="K13" s="54">
        <f>IF(B13&gt;C13,1,0)</f>
        <v>0</v>
      </c>
      <c r="L13" s="45">
        <f>IF((K11+K13)&gt;7,(K11+K13)-7,(K11+K13))</f>
        <v>3</v>
      </c>
      <c r="M13" s="54">
        <f>IF(L13&gt;1,J13,0)</f>
        <v>1.5</v>
      </c>
      <c r="N13" s="55">
        <f>IF(K13=0,M13,IF(B13&lt;TIMEVALUE("10:00 PM"),IF(B13&lt;TIMEVALUE("5:30 AM"),16.5,(TIMEVALUE("10:00 PM")-B13)*24),0))</f>
        <v>1.5</v>
      </c>
      <c r="O13" s="45">
        <f>IF(K13=1,IF(C13&gt;TIMEVALUE("5:30 AM"),(C13-TIMEVALUE("5:30 AM"))*24,0),0)</f>
        <v>0</v>
      </c>
      <c r="P13" s="40">
        <f>IF(L11=L13,M11+M13,M13)</f>
        <v>1.5</v>
      </c>
      <c r="Q13" s="40">
        <f t="shared" ref="Q13:Q20" si="2">IF(K13&gt;0,IF((SUMIF($L$22:$L$24,L13,$M$22:$M$24)+SUMIF($L$35,L13,$M$35))&gt;12,12,(SUMIF($L$22:$L$24,L13,$M$22:$M$24)+SUMIF($L$35,L13,$M$35))),0)</f>
        <v>0</v>
      </c>
      <c r="R13" s="40">
        <f>IF(K13&gt;0,Q13+O13,0)</f>
        <v>0</v>
      </c>
      <c r="S13" s="40">
        <f>IF(P13&gt;12,IF(N13&gt;0,IF((P13-N13)&gt;12,N13,P13-12),0),0)</f>
        <v>0</v>
      </c>
      <c r="T13" s="40">
        <f t="shared" ref="T13:T20" si="3">IF(R13&gt;12,IF(O13&gt;0,IF((R13-O13)&gt;12,O13,R13-12),0),0)</f>
        <v>0</v>
      </c>
      <c r="U13" s="69">
        <f t="shared" ref="U13:U20" si="4">IF(K13=0,IF(L13=1,D13,0),IF(L13=2,24-(B13*24),IF(L13=1,C13*24,0)))</f>
        <v>0</v>
      </c>
      <c r="V13" s="40">
        <f>X13+Z13</f>
        <v>0</v>
      </c>
      <c r="W13" s="59">
        <f t="shared" ref="W13:W20" si="5">IF(B13&gt;C13,0,IF(C13&lt;TIMEVALUE("5:31 AM"),(C13-B13)*24,IF(B13&lt;TIMEVALUE("5:30 AM"),(TIMEVALUE("5:30 AM")-B13)*24,0)))</f>
        <v>0</v>
      </c>
      <c r="X13" s="60">
        <f t="shared" ref="X13:X20" si="6">IF(B13&gt;C13,IF(B13&gt;TIMEVALUE("10:00 PM"),24-(B13*24),2),IF(B13&gt;TIMEVALUE("9:59 PM"),(C13-B13)*24,IF(C13&gt;TIMEVALUE("10:00 PM"),(C13-(TIMEVALUE("10:00 PM")))*24,0)))</f>
        <v>0</v>
      </c>
      <c r="Y13" s="61">
        <f>W13+X13</f>
        <v>0</v>
      </c>
      <c r="Z13" s="40">
        <f t="shared" ref="Z13:Z20" si="7">IF(B13&gt;C13,IF(C13&lt;TIMEVALUE("5:31 AM"),C13*24,5.5),0)</f>
        <v>0</v>
      </c>
      <c r="AA13" s="54"/>
      <c r="AB13" s="55">
        <f t="shared" ref="AB13:AB20" si="8">D13-(W13+X13+Z13)</f>
        <v>1.5</v>
      </c>
      <c r="AC13" s="55"/>
      <c r="AD13" s="45">
        <f>IF(B13&gt;TIMEVALUE("9:00 PM"),IF(B13&lt;TIMEVALUE("10:00 PM"),(TIMEVALUE("10:00 PM")-B13)*24,IF(E13&gt;1,1,E13)),IF(B13&lt;TIMEVALUE("5:30 AM"),IF(W13&gt;1,1,W13),0))</f>
        <v>0</v>
      </c>
      <c r="AE13" s="40">
        <f>IF(K13&gt;0,IF($G$11=$C$21,$D$22+Z13,$D$10+(D13-Z13)),IF($C$11=$C$21,$D$22+$D$10+D13,$D$10+D13))</f>
        <v>1.5</v>
      </c>
      <c r="AF13" s="40">
        <f>IF(K13&gt;0,D10+(D13-Z13),IF(C11=C21,D22+D10+D13,D10+D13))</f>
        <v>1.5</v>
      </c>
      <c r="AG13" s="40"/>
      <c r="AH13" s="40"/>
      <c r="AI13" s="40"/>
      <c r="AJ13" s="47" t="s">
        <v>67</v>
      </c>
      <c r="AK13" s="48">
        <f>$D$35</f>
        <v>8</v>
      </c>
    </row>
    <row r="14" spans="1:37" ht="15.75" thickTop="1" x14ac:dyDescent="0.25">
      <c r="A14" s="24" t="s">
        <v>23</v>
      </c>
      <c r="B14" s="32">
        <v>0.6875</v>
      </c>
      <c r="C14" s="32">
        <v>0.79166666666666663</v>
      </c>
      <c r="D14" s="29">
        <f t="shared" ref="D14:D20" si="9">IF(B14&gt;C14,(B14-1-C14)*(-24),(C14-B14)*24)</f>
        <v>2.4999999999999991</v>
      </c>
      <c r="E14" s="29">
        <f t="shared" si="1"/>
        <v>0</v>
      </c>
      <c r="F14" s="29">
        <f t="shared" ref="F14:F20" si="10">S14+T14</f>
        <v>0</v>
      </c>
      <c r="G14" s="29">
        <f>IF(D14&gt;2,D14-2,0)</f>
        <v>0.49999999999999911</v>
      </c>
      <c r="H14" s="116" t="s">
        <v>39</v>
      </c>
      <c r="I14" s="117"/>
      <c r="J14" s="40">
        <f t="shared" ref="J14:J20" si="11">D14-E14</f>
        <v>2.4999999999999991</v>
      </c>
      <c r="K14" s="54">
        <f t="shared" ref="K14:K20" si="12">IF(B14&gt;C14,1,0)</f>
        <v>0</v>
      </c>
      <c r="L14" s="45">
        <f>IF((L13+K14)&gt;7,(L13+K14)-7,(L13+K14))</f>
        <v>3</v>
      </c>
      <c r="M14" s="54">
        <f>IF(L14&gt;1,J14,0)</f>
        <v>2.4999999999999991</v>
      </c>
      <c r="N14" s="55">
        <f t="shared" ref="N14:N20" si="13">IF(K14=0,M14,IF(B14&lt;TIMEVALUE("10:00 PM"),IF(B14&lt;TIMEVALUE("5:30 AM"),16.5,(TIMEVALUE("10:00 PM")-B14)*24),0))</f>
        <v>2.4999999999999991</v>
      </c>
      <c r="O14" s="45">
        <f t="shared" ref="O14:O20" si="14">IF(K14=1,IF(C14&gt;TIMEVALUE("5:30 AM"),(C14-TIMEVALUE("5:30 AM"))*24,0),0)</f>
        <v>0</v>
      </c>
      <c r="P14" s="40">
        <f>IF(L13=L14,IF(K13&gt;0,R13+M14,P13+M14),P13+N14)</f>
        <v>3.9999999999999991</v>
      </c>
      <c r="Q14" s="40">
        <f t="shared" si="2"/>
        <v>0</v>
      </c>
      <c r="R14" s="40">
        <f t="shared" ref="R14:R20" si="15">IF(K14&gt;0,Q14+O14,0)</f>
        <v>0</v>
      </c>
      <c r="S14" s="40">
        <f t="shared" ref="S14:S20" si="16">IF(P14&gt;12,IF(N14&gt;0,IF((P14-N14)&gt;12,N14,P14-12),0),0)</f>
        <v>0</v>
      </c>
      <c r="T14" s="40">
        <f t="shared" si="3"/>
        <v>0</v>
      </c>
      <c r="U14" s="69">
        <f t="shared" si="4"/>
        <v>0</v>
      </c>
      <c r="V14" s="40">
        <f t="shared" ref="V14:V20" si="17">X14+Z14</f>
        <v>0</v>
      </c>
      <c r="W14" s="62">
        <f t="shared" si="5"/>
        <v>0</v>
      </c>
      <c r="X14" s="63">
        <f t="shared" si="6"/>
        <v>0</v>
      </c>
      <c r="Y14" s="64">
        <f t="shared" ref="Y14:Y20" si="18">W14+X14</f>
        <v>0</v>
      </c>
      <c r="Z14" s="40">
        <f t="shared" si="7"/>
        <v>0</v>
      </c>
      <c r="AA14" s="54">
        <f>IF(D14&gt;2,2,D14)</f>
        <v>2</v>
      </c>
      <c r="AB14" s="55">
        <f t="shared" si="8"/>
        <v>2.4999999999999991</v>
      </c>
      <c r="AC14" s="55">
        <f>IF(AB14&gt;2,2,AB14)</f>
        <v>2</v>
      </c>
      <c r="AD14" s="45"/>
      <c r="AE14" s="40">
        <f t="shared" ref="AE14:AE20" si="19">IF(K13&gt;0,IF($C$21=$G$11,$D$22+Z13+D14,IF(K14&gt;0,IF($C$21=$G$11,$D$22+Z14,Z14),Z13+D14)),AE13+D14)</f>
        <v>3.9999999999999991</v>
      </c>
      <c r="AF14" s="40">
        <f t="shared" ref="AF14:AF20" si="20">IF(K13&gt;0,IF($C$21=$G$11,$D$22+D14+Z13,D14+Z13),IF(K14&gt;0,AE13+(D14-Z14),AE13+D14))</f>
        <v>3.9999999999999991</v>
      </c>
      <c r="AG14" s="40"/>
      <c r="AH14" s="40"/>
      <c r="AI14" s="40"/>
      <c r="AJ14" s="42"/>
      <c r="AK14" s="43" t="s">
        <v>63</v>
      </c>
    </row>
    <row r="15" spans="1:37" x14ac:dyDescent="0.25">
      <c r="A15" s="24" t="s">
        <v>24</v>
      </c>
      <c r="B15" s="32">
        <v>0.79166666666666663</v>
      </c>
      <c r="C15" s="32">
        <v>0.9375</v>
      </c>
      <c r="D15" s="29">
        <f t="shared" si="9"/>
        <v>3.5000000000000009</v>
      </c>
      <c r="E15" s="29">
        <f t="shared" si="1"/>
        <v>0.50000000000000089</v>
      </c>
      <c r="F15" s="29">
        <f t="shared" si="10"/>
        <v>0</v>
      </c>
      <c r="G15" s="39"/>
      <c r="H15" s="116" t="s">
        <v>40</v>
      </c>
      <c r="I15" s="117"/>
      <c r="J15" s="40">
        <f t="shared" si="11"/>
        <v>3</v>
      </c>
      <c r="K15" s="54">
        <f t="shared" si="12"/>
        <v>0</v>
      </c>
      <c r="L15" s="45">
        <f t="shared" ref="L15:L20" si="21">IF((L14+K15)&gt;7,(L14+K15)-7,(L14+K15))</f>
        <v>3</v>
      </c>
      <c r="M15" s="54">
        <f t="shared" ref="M15:M20" si="22">IF(L15&gt;1,J15,0)</f>
        <v>3</v>
      </c>
      <c r="N15" s="55">
        <f t="shared" si="13"/>
        <v>3</v>
      </c>
      <c r="O15" s="45">
        <f t="shared" si="14"/>
        <v>0</v>
      </c>
      <c r="P15" s="40">
        <f>IF(L14=L15,IF(K14&gt;0,R14+M15,P14+M15),P14+N15)</f>
        <v>6.9999999999999991</v>
      </c>
      <c r="Q15" s="40">
        <f t="shared" si="2"/>
        <v>0</v>
      </c>
      <c r="R15" s="40">
        <f t="shared" si="15"/>
        <v>0</v>
      </c>
      <c r="S15" s="40">
        <f t="shared" si="16"/>
        <v>0</v>
      </c>
      <c r="T15" s="40">
        <f t="shared" si="3"/>
        <v>0</v>
      </c>
      <c r="U15" s="69">
        <f t="shared" si="4"/>
        <v>0</v>
      </c>
      <c r="V15" s="40">
        <f t="shared" si="17"/>
        <v>0.50000000000000089</v>
      </c>
      <c r="W15" s="62">
        <f t="shared" si="5"/>
        <v>0</v>
      </c>
      <c r="X15" s="63">
        <f t="shared" si="6"/>
        <v>0.50000000000000089</v>
      </c>
      <c r="Y15" s="64">
        <f t="shared" si="18"/>
        <v>0.50000000000000089</v>
      </c>
      <c r="Z15" s="40">
        <f t="shared" si="7"/>
        <v>0</v>
      </c>
      <c r="AA15" s="54"/>
      <c r="AB15" s="55">
        <f t="shared" si="8"/>
        <v>3</v>
      </c>
      <c r="AC15" s="55"/>
      <c r="AD15" s="45"/>
      <c r="AE15" s="40">
        <f t="shared" si="19"/>
        <v>7.5</v>
      </c>
      <c r="AF15" s="40">
        <f t="shared" si="20"/>
        <v>7.5</v>
      </c>
      <c r="AG15" s="40"/>
      <c r="AH15" s="40"/>
      <c r="AI15" s="40"/>
      <c r="AJ15" s="44" t="s">
        <v>56</v>
      </c>
      <c r="AK15" s="49">
        <f>SUMIF((L11:L35),L11,(M11:M35))</f>
        <v>6.9999999999999991</v>
      </c>
    </row>
    <row r="16" spans="1:37" x14ac:dyDescent="0.25">
      <c r="A16" s="24" t="s">
        <v>25</v>
      </c>
      <c r="B16" s="32">
        <v>0.9375</v>
      </c>
      <c r="C16" s="32">
        <v>0.97916666666666663</v>
      </c>
      <c r="D16" s="29">
        <f t="shared" si="9"/>
        <v>0.99999999999999911</v>
      </c>
      <c r="E16" s="29">
        <f t="shared" si="1"/>
        <v>0.99999999999999911</v>
      </c>
      <c r="F16" s="29">
        <f t="shared" si="10"/>
        <v>0</v>
      </c>
      <c r="G16" s="29">
        <f>IF(D16&gt;2,D16-2,0)</f>
        <v>0</v>
      </c>
      <c r="H16" s="116" t="s">
        <v>39</v>
      </c>
      <c r="I16" s="117"/>
      <c r="J16" s="40">
        <f t="shared" si="11"/>
        <v>0</v>
      </c>
      <c r="K16" s="54">
        <f t="shared" si="12"/>
        <v>0</v>
      </c>
      <c r="L16" s="45">
        <f t="shared" si="21"/>
        <v>3</v>
      </c>
      <c r="M16" s="54">
        <f t="shared" si="22"/>
        <v>0</v>
      </c>
      <c r="N16" s="55">
        <f t="shared" si="13"/>
        <v>0</v>
      </c>
      <c r="O16" s="45">
        <f t="shared" si="14"/>
        <v>0</v>
      </c>
      <c r="P16" s="40">
        <f t="shared" ref="P16:P20" si="23">IF(L15=L16,IF(K15&gt;0,R15+M16,P15+M16),P15+N16)</f>
        <v>6.9999999999999991</v>
      </c>
      <c r="Q16" s="40">
        <f t="shared" si="2"/>
        <v>0</v>
      </c>
      <c r="R16" s="40">
        <f t="shared" si="15"/>
        <v>0</v>
      </c>
      <c r="S16" s="40">
        <f t="shared" si="16"/>
        <v>0</v>
      </c>
      <c r="T16" s="40">
        <f t="shared" si="3"/>
        <v>0</v>
      </c>
      <c r="U16" s="69">
        <f t="shared" si="4"/>
        <v>0</v>
      </c>
      <c r="V16" s="40">
        <f t="shared" si="17"/>
        <v>0.99999999999999911</v>
      </c>
      <c r="W16" s="62">
        <f t="shared" si="5"/>
        <v>0</v>
      </c>
      <c r="X16" s="63">
        <f t="shared" si="6"/>
        <v>0.99999999999999911</v>
      </c>
      <c r="Y16" s="64">
        <f t="shared" si="18"/>
        <v>0.99999999999999911</v>
      </c>
      <c r="Z16" s="40">
        <f t="shared" si="7"/>
        <v>0</v>
      </c>
      <c r="AA16" s="54">
        <f>IF(D16&gt;2,2,D16)</f>
        <v>0.99999999999999911</v>
      </c>
      <c r="AB16" s="55">
        <f t="shared" si="8"/>
        <v>0</v>
      </c>
      <c r="AC16" s="55">
        <f>IF(AB16&gt;2,2,AB16)</f>
        <v>0</v>
      </c>
      <c r="AD16" s="45"/>
      <c r="AE16" s="40">
        <f t="shared" si="19"/>
        <v>8.5</v>
      </c>
      <c r="AF16" s="40">
        <f t="shared" si="20"/>
        <v>8.5</v>
      </c>
      <c r="AG16" s="40"/>
      <c r="AH16" s="40"/>
      <c r="AI16" s="40"/>
      <c r="AJ16" s="44" t="s">
        <v>73</v>
      </c>
      <c r="AK16" s="49">
        <f>SUMIF((L11:L35),L11+1,(M11:M35))</f>
        <v>8</v>
      </c>
    </row>
    <row r="17" spans="1:37" x14ac:dyDescent="0.25">
      <c r="A17" s="24" t="s">
        <v>26</v>
      </c>
      <c r="B17" s="32">
        <v>0.97916666666666663</v>
      </c>
      <c r="C17" s="32">
        <v>2.0833333333333332E-2</v>
      </c>
      <c r="D17" s="29">
        <f t="shared" si="9"/>
        <v>1.0000000000000009</v>
      </c>
      <c r="E17" s="29">
        <f t="shared" si="1"/>
        <v>1</v>
      </c>
      <c r="F17" s="29">
        <f t="shared" si="10"/>
        <v>0</v>
      </c>
      <c r="G17" s="39"/>
      <c r="H17" s="116" t="s">
        <v>40</v>
      </c>
      <c r="I17" s="117"/>
      <c r="J17" s="40">
        <f t="shared" si="11"/>
        <v>0</v>
      </c>
      <c r="K17" s="54">
        <f t="shared" si="12"/>
        <v>1</v>
      </c>
      <c r="L17" s="45">
        <f t="shared" si="21"/>
        <v>4</v>
      </c>
      <c r="M17" s="54">
        <f t="shared" si="22"/>
        <v>0</v>
      </c>
      <c r="N17" s="55">
        <f t="shared" si="13"/>
        <v>0</v>
      </c>
      <c r="O17" s="45">
        <f t="shared" si="14"/>
        <v>0</v>
      </c>
      <c r="P17" s="40">
        <f t="shared" si="23"/>
        <v>6.9999999999999991</v>
      </c>
      <c r="Q17" s="40">
        <f t="shared" si="2"/>
        <v>8</v>
      </c>
      <c r="R17" s="40">
        <f t="shared" si="15"/>
        <v>8</v>
      </c>
      <c r="S17" s="40">
        <f t="shared" si="16"/>
        <v>0</v>
      </c>
      <c r="T17" s="40">
        <f t="shared" si="3"/>
        <v>0</v>
      </c>
      <c r="U17" s="69">
        <f t="shared" si="4"/>
        <v>0</v>
      </c>
      <c r="V17" s="40">
        <f t="shared" si="17"/>
        <v>1</v>
      </c>
      <c r="W17" s="62">
        <f t="shared" si="5"/>
        <v>0</v>
      </c>
      <c r="X17" s="63">
        <f t="shared" si="6"/>
        <v>0.5</v>
      </c>
      <c r="Y17" s="64">
        <f t="shared" si="18"/>
        <v>0.5</v>
      </c>
      <c r="Z17" s="40">
        <f t="shared" si="7"/>
        <v>0.5</v>
      </c>
      <c r="AA17" s="54"/>
      <c r="AB17" s="55">
        <f t="shared" si="8"/>
        <v>0</v>
      </c>
      <c r="AC17" s="55"/>
      <c r="AD17" s="45"/>
      <c r="AE17" s="40">
        <f t="shared" si="19"/>
        <v>9.5</v>
      </c>
      <c r="AF17" s="40">
        <f t="shared" si="20"/>
        <v>9</v>
      </c>
      <c r="AG17" s="40"/>
      <c r="AH17" s="40"/>
      <c r="AI17" s="40"/>
      <c r="AJ17" s="44" t="s">
        <v>74</v>
      </c>
      <c r="AK17" s="49">
        <f>SUMIF((L11:L35),L11+2,(M11:M35))</f>
        <v>4.5</v>
      </c>
    </row>
    <row r="18" spans="1:37" x14ac:dyDescent="0.25">
      <c r="A18" s="24" t="s">
        <v>27</v>
      </c>
      <c r="B18" s="32"/>
      <c r="C18" s="32"/>
      <c r="D18" s="29">
        <f t="shared" si="9"/>
        <v>0</v>
      </c>
      <c r="E18" s="29">
        <f t="shared" si="1"/>
        <v>0</v>
      </c>
      <c r="F18" s="29">
        <f t="shared" si="10"/>
        <v>0</v>
      </c>
      <c r="G18" s="29">
        <f>IF(D18&gt;2,D18-2,0)</f>
        <v>0</v>
      </c>
      <c r="H18" s="116" t="s">
        <v>39</v>
      </c>
      <c r="I18" s="117"/>
      <c r="J18" s="40">
        <f t="shared" si="11"/>
        <v>0</v>
      </c>
      <c r="K18" s="54">
        <f t="shared" si="12"/>
        <v>0</v>
      </c>
      <c r="L18" s="45">
        <f t="shared" si="21"/>
        <v>4</v>
      </c>
      <c r="M18" s="54">
        <f t="shared" si="22"/>
        <v>0</v>
      </c>
      <c r="N18" s="55">
        <f t="shared" si="13"/>
        <v>0</v>
      </c>
      <c r="O18" s="45">
        <f t="shared" si="14"/>
        <v>0</v>
      </c>
      <c r="P18" s="40">
        <f t="shared" si="23"/>
        <v>8</v>
      </c>
      <c r="Q18" s="40">
        <f t="shared" si="2"/>
        <v>0</v>
      </c>
      <c r="R18" s="40">
        <f t="shared" si="15"/>
        <v>0</v>
      </c>
      <c r="S18" s="40">
        <f t="shared" si="16"/>
        <v>0</v>
      </c>
      <c r="T18" s="40">
        <f t="shared" si="3"/>
        <v>0</v>
      </c>
      <c r="U18" s="69">
        <f t="shared" si="4"/>
        <v>0</v>
      </c>
      <c r="V18" s="40">
        <f t="shared" si="17"/>
        <v>0</v>
      </c>
      <c r="W18" s="62">
        <f t="shared" si="5"/>
        <v>0</v>
      </c>
      <c r="X18" s="63">
        <f t="shared" si="6"/>
        <v>0</v>
      </c>
      <c r="Y18" s="64">
        <f t="shared" si="18"/>
        <v>0</v>
      </c>
      <c r="Z18" s="40">
        <f t="shared" si="7"/>
        <v>0</v>
      </c>
      <c r="AA18" s="54">
        <f>IF(D18&gt;2,2,D18)</f>
        <v>0</v>
      </c>
      <c r="AB18" s="55">
        <f t="shared" si="8"/>
        <v>0</v>
      </c>
      <c r="AC18" s="55">
        <f>IF(AB18&gt;2,2,AB18)</f>
        <v>0</v>
      </c>
      <c r="AD18" s="45"/>
      <c r="AE18" s="40">
        <f t="shared" si="19"/>
        <v>8.5</v>
      </c>
      <c r="AF18" s="40">
        <f t="shared" si="20"/>
        <v>8.5</v>
      </c>
      <c r="AG18" s="40"/>
      <c r="AH18" s="40"/>
      <c r="AI18" s="40"/>
      <c r="AJ18" s="44" t="s">
        <v>75</v>
      </c>
      <c r="AK18" s="49">
        <f>SUMIF((L11:L35),L11+3,(M11:M35))</f>
        <v>8</v>
      </c>
    </row>
    <row r="19" spans="1:37" x14ac:dyDescent="0.25">
      <c r="A19" s="24" t="s">
        <v>28</v>
      </c>
      <c r="B19" s="32"/>
      <c r="C19" s="32"/>
      <c r="D19" s="29">
        <f t="shared" si="9"/>
        <v>0</v>
      </c>
      <c r="E19" s="29">
        <f t="shared" si="1"/>
        <v>0</v>
      </c>
      <c r="F19" s="29">
        <f t="shared" si="10"/>
        <v>0</v>
      </c>
      <c r="G19" s="39"/>
      <c r="H19" s="116" t="s">
        <v>40</v>
      </c>
      <c r="I19" s="117"/>
      <c r="J19" s="40">
        <f t="shared" si="11"/>
        <v>0</v>
      </c>
      <c r="K19" s="54">
        <f t="shared" si="12"/>
        <v>0</v>
      </c>
      <c r="L19" s="45">
        <f t="shared" si="21"/>
        <v>4</v>
      </c>
      <c r="M19" s="54">
        <f t="shared" si="22"/>
        <v>0</v>
      </c>
      <c r="N19" s="55">
        <f t="shared" si="13"/>
        <v>0</v>
      </c>
      <c r="O19" s="45">
        <f t="shared" si="14"/>
        <v>0</v>
      </c>
      <c r="P19" s="40">
        <f t="shared" si="23"/>
        <v>8</v>
      </c>
      <c r="Q19" s="40">
        <f t="shared" si="2"/>
        <v>0</v>
      </c>
      <c r="R19" s="40">
        <f t="shared" si="15"/>
        <v>0</v>
      </c>
      <c r="S19" s="40">
        <f t="shared" si="16"/>
        <v>0</v>
      </c>
      <c r="T19" s="40">
        <f t="shared" si="3"/>
        <v>0</v>
      </c>
      <c r="U19" s="69">
        <f t="shared" si="4"/>
        <v>0</v>
      </c>
      <c r="V19" s="40">
        <f t="shared" si="17"/>
        <v>0</v>
      </c>
      <c r="W19" s="62">
        <f t="shared" si="5"/>
        <v>0</v>
      </c>
      <c r="X19" s="63">
        <f t="shared" si="6"/>
        <v>0</v>
      </c>
      <c r="Y19" s="64">
        <f t="shared" si="18"/>
        <v>0</v>
      </c>
      <c r="Z19" s="40">
        <f t="shared" si="7"/>
        <v>0</v>
      </c>
      <c r="AA19" s="54"/>
      <c r="AB19" s="55">
        <f t="shared" si="8"/>
        <v>0</v>
      </c>
      <c r="AC19" s="55"/>
      <c r="AD19" s="45"/>
      <c r="AE19" s="40">
        <f t="shared" si="19"/>
        <v>8.5</v>
      </c>
      <c r="AF19" s="40">
        <f t="shared" si="20"/>
        <v>8.5</v>
      </c>
      <c r="AG19" s="40"/>
      <c r="AH19" s="40"/>
      <c r="AI19" s="40"/>
      <c r="AJ19" s="44" t="s">
        <v>76</v>
      </c>
      <c r="AK19" s="49">
        <f>SUMIF((L11:L35),L11+4,(M11:M35))</f>
        <v>0</v>
      </c>
    </row>
    <row r="20" spans="1:37" ht="30.75" thickBot="1" x14ac:dyDescent="0.3">
      <c r="A20" s="25" t="s">
        <v>22</v>
      </c>
      <c r="B20" s="33">
        <v>2.0833333333333332E-2</v>
      </c>
      <c r="C20" s="33">
        <v>6.25E-2</v>
      </c>
      <c r="D20" s="30">
        <f t="shared" si="9"/>
        <v>1</v>
      </c>
      <c r="E20" s="30">
        <f t="shared" si="1"/>
        <v>1</v>
      </c>
      <c r="F20" s="30">
        <f t="shared" si="10"/>
        <v>0</v>
      </c>
      <c r="G20" s="71"/>
      <c r="H20" s="118" t="s">
        <v>42</v>
      </c>
      <c r="I20" s="119"/>
      <c r="J20" s="40">
        <f t="shared" si="11"/>
        <v>0</v>
      </c>
      <c r="K20" s="54">
        <f t="shared" si="12"/>
        <v>0</v>
      </c>
      <c r="L20" s="45">
        <f t="shared" si="21"/>
        <v>4</v>
      </c>
      <c r="M20" s="54">
        <f t="shared" si="22"/>
        <v>0</v>
      </c>
      <c r="N20" s="55">
        <f t="shared" si="13"/>
        <v>0</v>
      </c>
      <c r="O20" s="45">
        <f t="shared" si="14"/>
        <v>0</v>
      </c>
      <c r="P20" s="40">
        <f t="shared" si="23"/>
        <v>8</v>
      </c>
      <c r="Q20" s="40">
        <f t="shared" si="2"/>
        <v>0</v>
      </c>
      <c r="R20" s="40">
        <f t="shared" si="15"/>
        <v>0</v>
      </c>
      <c r="S20" s="40">
        <f t="shared" si="16"/>
        <v>0</v>
      </c>
      <c r="T20" s="40">
        <f t="shared" si="3"/>
        <v>0</v>
      </c>
      <c r="U20" s="69">
        <f t="shared" si="4"/>
        <v>0</v>
      </c>
      <c r="V20" s="40">
        <f t="shared" si="17"/>
        <v>0</v>
      </c>
      <c r="W20" s="65">
        <f t="shared" si="5"/>
        <v>1</v>
      </c>
      <c r="X20" s="66">
        <f t="shared" si="6"/>
        <v>0</v>
      </c>
      <c r="Y20" s="67">
        <f t="shared" si="18"/>
        <v>1</v>
      </c>
      <c r="Z20" s="40">
        <f t="shared" si="7"/>
        <v>0</v>
      </c>
      <c r="AA20" s="54"/>
      <c r="AB20" s="55">
        <f t="shared" si="8"/>
        <v>0</v>
      </c>
      <c r="AC20" s="55"/>
      <c r="AD20" s="45"/>
      <c r="AE20" s="40">
        <f t="shared" si="19"/>
        <v>9.5</v>
      </c>
      <c r="AF20" s="40">
        <f t="shared" si="20"/>
        <v>9.5</v>
      </c>
      <c r="AG20" s="40"/>
      <c r="AH20" s="40"/>
      <c r="AI20" s="40"/>
      <c r="AJ20" s="44"/>
      <c r="AK20" s="50"/>
    </row>
    <row r="21" spans="1:37" ht="16.5" thickTop="1" thickBot="1" x14ac:dyDescent="0.3">
      <c r="A21" s="17" t="s">
        <v>34</v>
      </c>
      <c r="B21" s="18" t="s">
        <v>18</v>
      </c>
      <c r="C21" s="109">
        <f>IF(D22=0,IF(D23=0,E24,E23),E22)</f>
        <v>43691</v>
      </c>
      <c r="D21" s="110"/>
      <c r="E21" s="146"/>
      <c r="F21" s="18" t="s">
        <v>19</v>
      </c>
      <c r="G21" s="109">
        <f>IF(D24=0,IF(D23=0,E22,E23),E24)</f>
        <v>43692</v>
      </c>
      <c r="H21" s="110"/>
      <c r="I21" s="111"/>
      <c r="J21" s="40"/>
      <c r="K21" s="54">
        <f>WEEKDAY(C21)</f>
        <v>4</v>
      </c>
      <c r="L21" s="45"/>
      <c r="M21" s="54"/>
      <c r="N21" s="55"/>
      <c r="O21" s="45"/>
      <c r="P21" s="40"/>
      <c r="Q21" s="40"/>
      <c r="R21" s="40"/>
      <c r="S21" s="40"/>
      <c r="T21" s="40"/>
      <c r="U21" s="69"/>
      <c r="V21" s="40"/>
      <c r="W21" s="54"/>
      <c r="X21" s="55"/>
      <c r="Y21" s="58"/>
      <c r="Z21" s="40"/>
      <c r="AA21" s="54"/>
      <c r="AB21" s="55"/>
      <c r="AC21" s="55"/>
      <c r="AD21" s="45"/>
      <c r="AE21" s="40"/>
      <c r="AJ21" s="47" t="s">
        <v>47</v>
      </c>
      <c r="AK21" s="51">
        <f>$G$25-$C$11+1</f>
        <v>4</v>
      </c>
    </row>
    <row r="22" spans="1:37" ht="15.75" thickTop="1" x14ac:dyDescent="0.25">
      <c r="A22" s="151" t="s">
        <v>49</v>
      </c>
      <c r="B22" s="152"/>
      <c r="C22" s="152"/>
      <c r="D22" s="35">
        <v>8</v>
      </c>
      <c r="E22" s="153">
        <v>43691</v>
      </c>
      <c r="F22" s="154"/>
      <c r="G22" s="15"/>
      <c r="H22" s="15"/>
      <c r="I22" s="15"/>
      <c r="J22" s="40"/>
      <c r="K22" s="54"/>
      <c r="L22" s="45">
        <f>WEEKDAY(C21)</f>
        <v>4</v>
      </c>
      <c r="M22" s="54">
        <f>IF(K21&gt;1,D22,0)</f>
        <v>8</v>
      </c>
      <c r="N22" s="55"/>
      <c r="O22" s="45"/>
      <c r="P22" s="40"/>
      <c r="Q22" s="40"/>
      <c r="R22" s="40"/>
      <c r="S22" s="40"/>
      <c r="T22" s="40"/>
      <c r="U22" s="69"/>
      <c r="V22" s="40"/>
      <c r="W22" s="54"/>
      <c r="X22" s="55"/>
      <c r="Y22" s="58"/>
      <c r="Z22" s="40"/>
      <c r="AA22" s="54"/>
      <c r="AB22" s="55"/>
      <c r="AC22" s="55"/>
      <c r="AD22" s="45"/>
      <c r="AE22" s="40"/>
    </row>
    <row r="23" spans="1:37" ht="16.5" customHeight="1" x14ac:dyDescent="0.25">
      <c r="A23" s="147" t="s">
        <v>50</v>
      </c>
      <c r="B23" s="148"/>
      <c r="C23" s="148"/>
      <c r="D23" s="36">
        <v>2</v>
      </c>
      <c r="E23" s="157">
        <v>43692</v>
      </c>
      <c r="F23" s="158"/>
      <c r="G23" s="16"/>
      <c r="H23" s="16"/>
      <c r="I23" s="16"/>
      <c r="J23" s="40"/>
      <c r="K23" s="54"/>
      <c r="L23" s="45">
        <f>IF(D24=0,WEEKDAY(G21),IF(D22=0,WEEKDAY(C21),0))</f>
        <v>5</v>
      </c>
      <c r="M23" s="54">
        <f>IF(D22=0,IF(D24=0,IF(WEEKDAY(G21)&gt;1,D23,IF(WEEKDAY(C21)&gt;1,D23,0)),0),0)</f>
        <v>0</v>
      </c>
      <c r="N23" s="55"/>
      <c r="O23" s="45"/>
      <c r="P23" s="40"/>
      <c r="Q23" s="40"/>
      <c r="R23" s="40"/>
      <c r="S23" s="40"/>
      <c r="T23" s="40"/>
      <c r="U23" s="69"/>
      <c r="V23" s="40"/>
      <c r="W23" s="54"/>
      <c r="X23" s="55"/>
      <c r="Y23" s="58"/>
      <c r="Z23" s="40"/>
      <c r="AA23" s="54"/>
      <c r="AB23" s="55"/>
      <c r="AC23" s="55"/>
      <c r="AD23" s="45"/>
      <c r="AE23" s="40"/>
    </row>
    <row r="24" spans="1:37" ht="16.5" customHeight="1" thickBot="1" x14ac:dyDescent="0.3">
      <c r="A24" s="149" t="s">
        <v>51</v>
      </c>
      <c r="B24" s="150"/>
      <c r="C24" s="150"/>
      <c r="D24" s="37">
        <v>0</v>
      </c>
      <c r="E24" s="159"/>
      <c r="F24" s="160"/>
      <c r="G24" s="13"/>
      <c r="H24" s="13"/>
      <c r="I24" s="13"/>
      <c r="J24" s="40"/>
      <c r="K24" s="54"/>
      <c r="L24" s="45">
        <f>WEEKDAY(G21)</f>
        <v>5</v>
      </c>
      <c r="M24" s="54">
        <f>IF(WEEKDAY(G21)&gt;1,D24,0)</f>
        <v>0</v>
      </c>
      <c r="N24" s="55"/>
      <c r="O24" s="45"/>
      <c r="P24" s="40"/>
      <c r="Q24" s="40"/>
      <c r="R24" s="40"/>
      <c r="S24" s="40"/>
      <c r="T24" s="40"/>
      <c r="U24" s="69"/>
      <c r="V24" s="40"/>
      <c r="W24" s="54"/>
      <c r="X24" s="55"/>
      <c r="Y24" s="58"/>
      <c r="Z24" s="40"/>
      <c r="AA24" s="54"/>
      <c r="AB24" s="55"/>
      <c r="AC24" s="55"/>
      <c r="AD24" s="45"/>
      <c r="AE24" s="40"/>
    </row>
    <row r="25" spans="1:37" ht="16.5" thickTop="1" thickBot="1" x14ac:dyDescent="0.3">
      <c r="A25" s="17" t="s">
        <v>35</v>
      </c>
      <c r="B25" s="18" t="s">
        <v>18</v>
      </c>
      <c r="C25" s="106">
        <v>43692</v>
      </c>
      <c r="D25" s="107"/>
      <c r="E25" s="108"/>
      <c r="F25" s="18" t="s">
        <v>19</v>
      </c>
      <c r="G25" s="109">
        <f>C25+SUM(K27:K34)</f>
        <v>43693</v>
      </c>
      <c r="H25" s="110"/>
      <c r="I25" s="111"/>
      <c r="J25" s="40"/>
      <c r="K25" s="54">
        <f>WEEKDAY(C25)</f>
        <v>5</v>
      </c>
      <c r="L25" s="45"/>
      <c r="M25" s="54"/>
      <c r="N25" s="55"/>
      <c r="O25" s="45"/>
      <c r="P25" s="40"/>
      <c r="Q25" s="40"/>
      <c r="R25" s="40"/>
      <c r="S25" s="40"/>
      <c r="T25" s="40"/>
      <c r="U25" s="69"/>
      <c r="V25" s="40"/>
      <c r="W25" s="54"/>
      <c r="X25" s="55"/>
      <c r="Y25" s="58"/>
      <c r="Z25" s="40"/>
      <c r="AA25" s="54"/>
      <c r="AB25" s="55"/>
      <c r="AC25" s="55"/>
      <c r="AD25" s="45"/>
      <c r="AE25" s="40"/>
    </row>
    <row r="26" spans="1:37" ht="45.75" thickTop="1" x14ac:dyDescent="0.25">
      <c r="A26" s="19"/>
      <c r="B26" s="20" t="s">
        <v>16</v>
      </c>
      <c r="C26" s="20" t="s">
        <v>17</v>
      </c>
      <c r="D26" s="20" t="s">
        <v>29</v>
      </c>
      <c r="E26" s="20" t="s">
        <v>30</v>
      </c>
      <c r="F26" s="20" t="s">
        <v>31</v>
      </c>
      <c r="G26" s="20" t="s">
        <v>32</v>
      </c>
      <c r="H26" s="112" t="s">
        <v>33</v>
      </c>
      <c r="I26" s="113"/>
      <c r="J26" s="40"/>
      <c r="K26" s="54"/>
      <c r="L26" s="45"/>
      <c r="M26" s="54"/>
      <c r="N26" s="55"/>
      <c r="O26" s="45"/>
      <c r="P26" s="40"/>
      <c r="Q26" s="40"/>
      <c r="R26" s="40"/>
      <c r="S26" s="40"/>
      <c r="T26" s="40"/>
      <c r="U26" s="69"/>
      <c r="V26" s="40"/>
      <c r="W26" s="54"/>
      <c r="X26" s="55"/>
      <c r="Y26" s="58"/>
      <c r="Z26" s="40"/>
      <c r="AA26" s="54"/>
      <c r="AB26" s="55"/>
      <c r="AC26" s="55"/>
      <c r="AD26" s="45"/>
      <c r="AE26" s="40"/>
    </row>
    <row r="27" spans="1:37" ht="30" x14ac:dyDescent="0.25">
      <c r="A27" s="24" t="s">
        <v>41</v>
      </c>
      <c r="B27" s="32">
        <v>0.72916666666666663</v>
      </c>
      <c r="C27" s="32">
        <v>0.77083333333333337</v>
      </c>
      <c r="D27" s="28">
        <f t="shared" ref="D27:D34" si="24">IF(B27&gt;C27,(B27-1-C27)*(-24),(C27-B27)*24)</f>
        <v>1.0000000000000018</v>
      </c>
      <c r="E27" s="29">
        <f>IF(L27&gt;1,SUM(Y27:Z27),U27)</f>
        <v>0</v>
      </c>
      <c r="F27" s="29">
        <f t="shared" ref="F27:F34" si="25">S27+T27</f>
        <v>0</v>
      </c>
      <c r="G27" s="39"/>
      <c r="H27" s="116" t="s">
        <v>43</v>
      </c>
      <c r="I27" s="117"/>
      <c r="J27" s="40">
        <f t="shared" ref="J27:J34" si="26">D27-E27</f>
        <v>1.0000000000000018</v>
      </c>
      <c r="K27" s="54">
        <f t="shared" ref="K27:K34" si="27">IF(B27&gt;C27,1,0)</f>
        <v>0</v>
      </c>
      <c r="L27" s="45">
        <f>IF((K25+K27)&gt;7,(K25+K27)-7,(K25+K27))</f>
        <v>5</v>
      </c>
      <c r="M27" s="54">
        <f t="shared" ref="M27:M34" si="28">IF(L27&gt;1,J27,0)</f>
        <v>1.0000000000000018</v>
      </c>
      <c r="N27" s="55">
        <f t="shared" ref="N27:N34" si="29">IF(K27=0,M27,IF(B27&lt;TIMEVALUE("10:00 PM"),IF(B27&lt;TIMEVALUE("5:30 AM"),16.5,(TIMEVALUE("10:00 PM")-B27)*24),0))</f>
        <v>1.0000000000000018</v>
      </c>
      <c r="O27" s="45">
        <f t="shared" ref="O27:O34" si="30">IF(K27=1,IF(C27&gt;TIMEVALUE("5:30 AM"),(C27-TIMEVALUE("5:30 AM"))*24,0),0)</f>
        <v>0</v>
      </c>
      <c r="P27" s="40">
        <f>IF(L20=L27,IF(K20&gt;0,R20+M27,P20+M27),P20+N27)</f>
        <v>9.0000000000000018</v>
      </c>
      <c r="Q27" s="40">
        <f t="shared" ref="Q27:Q34" si="31">IF(K27&gt;0,IF((SUMIF($L$22:$L$24,L27,$M$22:$M$24)+SUMIF($L$35,L27,$M$35))&gt;12,12,(SUMIF($L$22:$L$24,L27,$M$22:$M$24)+SUMIF($L$35,L27,$M$35))),0)</f>
        <v>0</v>
      </c>
      <c r="R27" s="40">
        <f t="shared" ref="R27:R34" si="32">IF(K27&gt;0,Q27+O27,0)</f>
        <v>0</v>
      </c>
      <c r="S27" s="40">
        <f>IF(P27&gt;12,IF(N27&gt;0,IF((P27-N27)&gt;12,N27,P27-12),0),0)</f>
        <v>0</v>
      </c>
      <c r="T27" s="40">
        <f>IF(R27&gt;12,IF(O27&gt;0,IF((R27-O27)&gt;12,O27,R27-12),0),0)</f>
        <v>0</v>
      </c>
      <c r="U27" s="69">
        <f t="shared" ref="U27:U34" si="33">IF(K27=0,IF(L27=1,D27,0),IF(L27=2,24-(B27*24),IF(L27=1,C27*24,0)))</f>
        <v>0</v>
      </c>
      <c r="V27" s="40">
        <f t="shared" ref="V27:V34" si="34">X27+Z27</f>
        <v>0</v>
      </c>
      <c r="W27" s="59">
        <f t="shared" ref="W27:W34" si="35">IF(B27&gt;C27,0,IF(C27&lt;TIMEVALUE("5:31 AM"),(C27-B27)*24,IF(B27&lt;TIMEVALUE("5:30 AM"),(TIMEVALUE("5:30 AM")-B27)*24,0)))</f>
        <v>0</v>
      </c>
      <c r="X27" s="60">
        <f t="shared" ref="X27:X34" si="36">IF(B27&gt;C27,IF(B27&gt;TIMEVALUE("10:00 PM"),24-(B27*24),2),IF(B27&gt;TIMEVALUE("9:59 PM"),(C27-B27)*24,IF(C27&gt;TIMEVALUE("10:00 PM"),(C27-(TIMEVALUE("10:00 PM")))*24,0)))</f>
        <v>0</v>
      </c>
      <c r="Y27" s="61">
        <f t="shared" ref="Y27:Y34" si="37">W27+X27</f>
        <v>0</v>
      </c>
      <c r="Z27" s="40">
        <f t="shared" ref="Z27:Z34" si="38">IF(B27&gt;C27,IF(C27&lt;TIMEVALUE("5:31 AM"),C27*24,5.5),0)</f>
        <v>0</v>
      </c>
      <c r="AA27" s="54"/>
      <c r="AB27" s="55">
        <f t="shared" ref="AB27:AB34" si="39">D27-(W27+X27+Z27)</f>
        <v>1.0000000000000018</v>
      </c>
      <c r="AC27" s="55"/>
      <c r="AD27" s="45"/>
      <c r="AE27" s="40">
        <f>IF(L20=L27,IF(L27=$L$34,AE20+$D$35+D27,AE20+D27),IF(G21=C25,IF(D24&gt;0,D24+D27,IF(D23&gt;0,D23+D27,D22+D27)),IF(K27&gt;0,IF(L27=$L$34,$D$35+Z27,Z27),D27)))</f>
        <v>3.0000000000000018</v>
      </c>
    </row>
    <row r="28" spans="1:37" x14ac:dyDescent="0.25">
      <c r="A28" s="24" t="s">
        <v>23</v>
      </c>
      <c r="B28" s="32">
        <v>0.77083333333333337</v>
      </c>
      <c r="C28" s="32">
        <v>0.83333333333333337</v>
      </c>
      <c r="D28" s="28">
        <f t="shared" si="24"/>
        <v>1.5</v>
      </c>
      <c r="E28" s="29">
        <f t="shared" ref="E28:E34" si="40">IF(L28&gt;1,SUM(Y28:Z28),U28)</f>
        <v>0</v>
      </c>
      <c r="F28" s="29">
        <f t="shared" si="25"/>
        <v>0</v>
      </c>
      <c r="G28" s="29">
        <f>IF(D28&gt;2,D28-2,0)</f>
        <v>0</v>
      </c>
      <c r="H28" s="116" t="s">
        <v>39</v>
      </c>
      <c r="I28" s="117"/>
      <c r="J28" s="40">
        <f t="shared" si="26"/>
        <v>1.5</v>
      </c>
      <c r="K28" s="54">
        <f t="shared" si="27"/>
        <v>0</v>
      </c>
      <c r="L28" s="45">
        <f t="shared" ref="L28:L34" si="41">IF((L27+K28)&gt;7,(L27+K28)-7,(L27+K28))</f>
        <v>5</v>
      </c>
      <c r="M28" s="54">
        <f t="shared" si="28"/>
        <v>1.5</v>
      </c>
      <c r="N28" s="55">
        <f t="shared" si="29"/>
        <v>1.5</v>
      </c>
      <c r="O28" s="45">
        <f t="shared" si="30"/>
        <v>0</v>
      </c>
      <c r="P28" s="40">
        <f t="shared" ref="P28:P34" si="42">IF(L27=L28,IF(K27&gt;0,R27+M28,P27+M28),P27+N28)</f>
        <v>10.500000000000002</v>
      </c>
      <c r="Q28" s="40">
        <f t="shared" si="31"/>
        <v>0</v>
      </c>
      <c r="R28" s="40">
        <f t="shared" si="32"/>
        <v>0</v>
      </c>
      <c r="S28" s="40">
        <f>IF(P28&gt;12,IF(N28&gt;0,IF((P28-N28)&gt;12,N28,P28-12),0),0)</f>
        <v>0</v>
      </c>
      <c r="T28" s="40">
        <f>IF(R28&gt;12,IF(O28&gt;0,IF((R28-O28)&gt;12,O28,R28-12),0),0)</f>
        <v>0</v>
      </c>
      <c r="U28" s="69">
        <f t="shared" si="33"/>
        <v>0</v>
      </c>
      <c r="V28" s="40">
        <f t="shared" si="34"/>
        <v>0</v>
      </c>
      <c r="W28" s="62">
        <f t="shared" si="35"/>
        <v>0</v>
      </c>
      <c r="X28" s="63">
        <f t="shared" si="36"/>
        <v>0</v>
      </c>
      <c r="Y28" s="64">
        <f t="shared" si="37"/>
        <v>0</v>
      </c>
      <c r="Z28" s="40">
        <f t="shared" si="38"/>
        <v>0</v>
      </c>
      <c r="AA28" s="54">
        <f>IF(D28&gt;2,2,D28)</f>
        <v>1.5</v>
      </c>
      <c r="AB28" s="55">
        <f t="shared" si="39"/>
        <v>1.5</v>
      </c>
      <c r="AC28" s="55">
        <f>IF(AB28&gt;2,2,AB28)</f>
        <v>1.5</v>
      </c>
      <c r="AD28" s="45"/>
      <c r="AE28" s="40">
        <f t="shared" ref="AE28:AE34" si="43">IF(K27&gt;0,IF(L28=$L$34,$D$35+Z27+D28,Z27+D28),IF(K28&gt;0,IF(L28=$L$34,$D$35+Z28,Z28),AE27+D28))</f>
        <v>4.5000000000000018</v>
      </c>
    </row>
    <row r="29" spans="1:37" x14ac:dyDescent="0.25">
      <c r="A29" s="24" t="s">
        <v>24</v>
      </c>
      <c r="B29" s="32">
        <v>0.83333333333333337</v>
      </c>
      <c r="C29" s="32">
        <v>0.875</v>
      </c>
      <c r="D29" s="28">
        <f t="shared" si="24"/>
        <v>0.99999999999999911</v>
      </c>
      <c r="E29" s="29">
        <f t="shared" si="40"/>
        <v>0</v>
      </c>
      <c r="F29" s="29">
        <f t="shared" si="25"/>
        <v>0</v>
      </c>
      <c r="G29" s="39"/>
      <c r="H29" s="116" t="s">
        <v>40</v>
      </c>
      <c r="I29" s="117"/>
      <c r="J29" s="40">
        <f t="shared" si="26"/>
        <v>0.99999999999999911</v>
      </c>
      <c r="K29" s="54">
        <f t="shared" si="27"/>
        <v>0</v>
      </c>
      <c r="L29" s="45">
        <f t="shared" si="41"/>
        <v>5</v>
      </c>
      <c r="M29" s="54">
        <f t="shared" si="28"/>
        <v>0.99999999999999911</v>
      </c>
      <c r="N29" s="55">
        <f t="shared" si="29"/>
        <v>0.99999999999999911</v>
      </c>
      <c r="O29" s="45">
        <f t="shared" si="30"/>
        <v>0</v>
      </c>
      <c r="P29" s="40">
        <f t="shared" si="42"/>
        <v>11.5</v>
      </c>
      <c r="Q29" s="40">
        <f t="shared" si="31"/>
        <v>0</v>
      </c>
      <c r="R29" s="40">
        <f t="shared" si="32"/>
        <v>0</v>
      </c>
      <c r="S29" s="40">
        <f t="shared" ref="S29:S34" si="44">IF(P29&gt;12,IF(N29&gt;0,IF((P29-N29)&gt;12,N29,P29-12),0),0)</f>
        <v>0</v>
      </c>
      <c r="T29" s="40">
        <f t="shared" ref="T29:T34" si="45">IF(R29&gt;12,IF(O29&gt;0,IF((R29-O29)&gt;12,O29,R29-12),0),0)</f>
        <v>0</v>
      </c>
      <c r="U29" s="69">
        <f t="shared" si="33"/>
        <v>0</v>
      </c>
      <c r="V29" s="40">
        <f t="shared" si="34"/>
        <v>0</v>
      </c>
      <c r="W29" s="62">
        <f t="shared" si="35"/>
        <v>0</v>
      </c>
      <c r="X29" s="63">
        <f t="shared" si="36"/>
        <v>0</v>
      </c>
      <c r="Y29" s="64">
        <f t="shared" si="37"/>
        <v>0</v>
      </c>
      <c r="Z29" s="40">
        <f t="shared" si="38"/>
        <v>0</v>
      </c>
      <c r="AA29" s="54"/>
      <c r="AB29" s="55">
        <f t="shared" si="39"/>
        <v>0.99999999999999911</v>
      </c>
      <c r="AC29" s="55"/>
      <c r="AD29" s="45"/>
      <c r="AE29" s="40">
        <f t="shared" si="43"/>
        <v>5.5000000000000009</v>
      </c>
    </row>
    <row r="30" spans="1:37" x14ac:dyDescent="0.25">
      <c r="A30" s="24" t="s">
        <v>25</v>
      </c>
      <c r="B30" s="32">
        <v>0.875</v>
      </c>
      <c r="C30" s="32">
        <v>0.98958333333333337</v>
      </c>
      <c r="D30" s="28">
        <f t="shared" si="24"/>
        <v>2.7500000000000009</v>
      </c>
      <c r="E30" s="29">
        <f t="shared" si="40"/>
        <v>1.7500000000000018</v>
      </c>
      <c r="F30" s="29">
        <f t="shared" si="25"/>
        <v>0.5</v>
      </c>
      <c r="G30" s="29">
        <f>IF(D30&gt;2,D30-2,0)</f>
        <v>0.75000000000000089</v>
      </c>
      <c r="H30" s="116" t="s">
        <v>39</v>
      </c>
      <c r="I30" s="117"/>
      <c r="J30" s="40">
        <f t="shared" si="26"/>
        <v>0.99999999999999911</v>
      </c>
      <c r="K30" s="54">
        <f t="shared" si="27"/>
        <v>0</v>
      </c>
      <c r="L30" s="45">
        <f t="shared" si="41"/>
        <v>5</v>
      </c>
      <c r="M30" s="54">
        <f t="shared" si="28"/>
        <v>0.99999999999999911</v>
      </c>
      <c r="N30" s="55">
        <f t="shared" si="29"/>
        <v>0.99999999999999911</v>
      </c>
      <c r="O30" s="45">
        <f t="shared" si="30"/>
        <v>0</v>
      </c>
      <c r="P30" s="40">
        <f t="shared" si="42"/>
        <v>12.5</v>
      </c>
      <c r="Q30" s="40">
        <f t="shared" si="31"/>
        <v>0</v>
      </c>
      <c r="R30" s="40">
        <f t="shared" si="32"/>
        <v>0</v>
      </c>
      <c r="S30" s="40">
        <f t="shared" si="44"/>
        <v>0.5</v>
      </c>
      <c r="T30" s="40">
        <f t="shared" si="45"/>
        <v>0</v>
      </c>
      <c r="U30" s="69">
        <f t="shared" si="33"/>
        <v>0</v>
      </c>
      <c r="V30" s="40">
        <f t="shared" si="34"/>
        <v>1.7500000000000018</v>
      </c>
      <c r="W30" s="62">
        <f t="shared" si="35"/>
        <v>0</v>
      </c>
      <c r="X30" s="63">
        <f t="shared" si="36"/>
        <v>1.7500000000000018</v>
      </c>
      <c r="Y30" s="64">
        <f t="shared" si="37"/>
        <v>1.7500000000000018</v>
      </c>
      <c r="Z30" s="40">
        <f t="shared" si="38"/>
        <v>0</v>
      </c>
      <c r="AA30" s="54">
        <f>IF(D30&gt;2,2,D30)</f>
        <v>2</v>
      </c>
      <c r="AB30" s="55">
        <f t="shared" si="39"/>
        <v>0.99999999999999911</v>
      </c>
      <c r="AC30" s="55">
        <f>IF(AB30&gt;2,2,AB30)</f>
        <v>0.99999999999999911</v>
      </c>
      <c r="AD30" s="45"/>
      <c r="AE30" s="40">
        <f t="shared" si="43"/>
        <v>8.2500000000000018</v>
      </c>
      <c r="AF30" t="s">
        <v>60</v>
      </c>
    </row>
    <row r="31" spans="1:37" x14ac:dyDescent="0.25">
      <c r="A31" s="24" t="s">
        <v>26</v>
      </c>
      <c r="B31" s="32">
        <v>0.98958333333333337</v>
      </c>
      <c r="C31" s="32">
        <v>0.11458333333333333</v>
      </c>
      <c r="D31" s="28">
        <f t="shared" si="24"/>
        <v>2.9999999999999991</v>
      </c>
      <c r="E31" s="29">
        <f t="shared" si="40"/>
        <v>3</v>
      </c>
      <c r="F31" s="29">
        <f t="shared" si="25"/>
        <v>0</v>
      </c>
      <c r="G31" s="39"/>
      <c r="H31" s="116" t="s">
        <v>40</v>
      </c>
      <c r="I31" s="117"/>
      <c r="J31" s="40">
        <f t="shared" si="26"/>
        <v>0</v>
      </c>
      <c r="K31" s="54">
        <f t="shared" si="27"/>
        <v>1</v>
      </c>
      <c r="L31" s="45">
        <f t="shared" si="41"/>
        <v>6</v>
      </c>
      <c r="M31" s="54">
        <f t="shared" si="28"/>
        <v>0</v>
      </c>
      <c r="N31" s="55">
        <f t="shared" si="29"/>
        <v>0</v>
      </c>
      <c r="O31" s="45">
        <f t="shared" si="30"/>
        <v>0</v>
      </c>
      <c r="P31" s="40">
        <f t="shared" si="42"/>
        <v>12.5</v>
      </c>
      <c r="Q31" s="40">
        <f t="shared" si="31"/>
        <v>8</v>
      </c>
      <c r="R31" s="40">
        <f t="shared" si="32"/>
        <v>8</v>
      </c>
      <c r="S31" s="40">
        <f t="shared" si="44"/>
        <v>0</v>
      </c>
      <c r="T31" s="40">
        <f t="shared" si="45"/>
        <v>0</v>
      </c>
      <c r="U31" s="69">
        <f t="shared" si="33"/>
        <v>0</v>
      </c>
      <c r="V31" s="40">
        <f t="shared" si="34"/>
        <v>3</v>
      </c>
      <c r="W31" s="62">
        <f t="shared" si="35"/>
        <v>0</v>
      </c>
      <c r="X31" s="63">
        <f t="shared" si="36"/>
        <v>0.25</v>
      </c>
      <c r="Y31" s="64">
        <f t="shared" si="37"/>
        <v>0.25</v>
      </c>
      <c r="Z31" s="40">
        <f t="shared" si="38"/>
        <v>2.75</v>
      </c>
      <c r="AA31" s="54"/>
      <c r="AB31" s="55">
        <f t="shared" si="39"/>
        <v>0</v>
      </c>
      <c r="AC31" s="55"/>
      <c r="AD31" s="45"/>
      <c r="AE31" s="40">
        <f t="shared" si="43"/>
        <v>10.75</v>
      </c>
    </row>
    <row r="32" spans="1:37" x14ac:dyDescent="0.25">
      <c r="A32" s="24" t="s">
        <v>27</v>
      </c>
      <c r="B32" s="32"/>
      <c r="C32" s="32"/>
      <c r="D32" s="28">
        <f t="shared" si="24"/>
        <v>0</v>
      </c>
      <c r="E32" s="29">
        <f t="shared" si="40"/>
        <v>0</v>
      </c>
      <c r="F32" s="29">
        <f t="shared" si="25"/>
        <v>0</v>
      </c>
      <c r="G32" s="29">
        <f>IF(D32&gt;2,D32-2,0)</f>
        <v>0</v>
      </c>
      <c r="H32" s="116" t="s">
        <v>39</v>
      </c>
      <c r="I32" s="117"/>
      <c r="J32" s="40">
        <f t="shared" si="26"/>
        <v>0</v>
      </c>
      <c r="K32" s="54">
        <f t="shared" si="27"/>
        <v>0</v>
      </c>
      <c r="L32" s="45">
        <f t="shared" si="41"/>
        <v>6</v>
      </c>
      <c r="M32" s="54">
        <f t="shared" si="28"/>
        <v>0</v>
      </c>
      <c r="N32" s="55">
        <f t="shared" si="29"/>
        <v>0</v>
      </c>
      <c r="O32" s="45">
        <f t="shared" si="30"/>
        <v>0</v>
      </c>
      <c r="P32" s="40">
        <f t="shared" si="42"/>
        <v>8</v>
      </c>
      <c r="Q32" s="40">
        <f t="shared" si="31"/>
        <v>0</v>
      </c>
      <c r="R32" s="40">
        <f t="shared" si="32"/>
        <v>0</v>
      </c>
      <c r="S32" s="40">
        <f t="shared" si="44"/>
        <v>0</v>
      </c>
      <c r="T32" s="40">
        <f t="shared" si="45"/>
        <v>0</v>
      </c>
      <c r="U32" s="69">
        <f t="shared" si="33"/>
        <v>0</v>
      </c>
      <c r="V32" s="40">
        <f t="shared" si="34"/>
        <v>0</v>
      </c>
      <c r="W32" s="62">
        <f t="shared" si="35"/>
        <v>0</v>
      </c>
      <c r="X32" s="63">
        <f t="shared" si="36"/>
        <v>0</v>
      </c>
      <c r="Y32" s="64">
        <f t="shared" si="37"/>
        <v>0</v>
      </c>
      <c r="Z32" s="40">
        <f t="shared" si="38"/>
        <v>0</v>
      </c>
      <c r="AA32" s="54">
        <f>IF(D32&gt;2,2,D32)</f>
        <v>0</v>
      </c>
      <c r="AB32" s="55">
        <f t="shared" si="39"/>
        <v>0</v>
      </c>
      <c r="AC32" s="55">
        <f>IF(AB32&gt;2,2,AB32)</f>
        <v>0</v>
      </c>
      <c r="AD32" s="45"/>
      <c r="AE32" s="40">
        <f t="shared" si="43"/>
        <v>10.75</v>
      </c>
    </row>
    <row r="33" spans="1:31" x14ac:dyDescent="0.25">
      <c r="A33" s="24" t="s">
        <v>28</v>
      </c>
      <c r="B33" s="32"/>
      <c r="C33" s="32"/>
      <c r="D33" s="28">
        <f t="shared" si="24"/>
        <v>0</v>
      </c>
      <c r="E33" s="29">
        <f t="shared" si="40"/>
        <v>0</v>
      </c>
      <c r="F33" s="29">
        <f t="shared" si="25"/>
        <v>0</v>
      </c>
      <c r="G33" s="39"/>
      <c r="H33" s="116" t="s">
        <v>40</v>
      </c>
      <c r="I33" s="117"/>
      <c r="J33" s="40">
        <f t="shared" si="26"/>
        <v>0</v>
      </c>
      <c r="K33" s="54">
        <f t="shared" si="27"/>
        <v>0</v>
      </c>
      <c r="L33" s="45">
        <f t="shared" si="41"/>
        <v>6</v>
      </c>
      <c r="M33" s="54">
        <f t="shared" si="28"/>
        <v>0</v>
      </c>
      <c r="N33" s="55">
        <f t="shared" si="29"/>
        <v>0</v>
      </c>
      <c r="O33" s="45">
        <f t="shared" si="30"/>
        <v>0</v>
      </c>
      <c r="P33" s="40">
        <f t="shared" si="42"/>
        <v>8</v>
      </c>
      <c r="Q33" s="40">
        <f t="shared" si="31"/>
        <v>0</v>
      </c>
      <c r="R33" s="40">
        <f t="shared" si="32"/>
        <v>0</v>
      </c>
      <c r="S33" s="40">
        <f t="shared" si="44"/>
        <v>0</v>
      </c>
      <c r="T33" s="40">
        <f t="shared" si="45"/>
        <v>0</v>
      </c>
      <c r="U33" s="69">
        <f t="shared" si="33"/>
        <v>0</v>
      </c>
      <c r="V33" s="40">
        <f t="shared" si="34"/>
        <v>0</v>
      </c>
      <c r="W33" s="62">
        <f t="shared" si="35"/>
        <v>0</v>
      </c>
      <c r="X33" s="63">
        <f t="shared" si="36"/>
        <v>0</v>
      </c>
      <c r="Y33" s="64">
        <f t="shared" si="37"/>
        <v>0</v>
      </c>
      <c r="Z33" s="40">
        <f t="shared" si="38"/>
        <v>0</v>
      </c>
      <c r="AA33" s="54"/>
      <c r="AB33" s="55">
        <f t="shared" si="39"/>
        <v>0</v>
      </c>
      <c r="AC33" s="55"/>
      <c r="AD33" s="45"/>
      <c r="AE33" s="40">
        <f t="shared" si="43"/>
        <v>10.75</v>
      </c>
    </row>
    <row r="34" spans="1:31" ht="42.75" customHeight="1" thickBot="1" x14ac:dyDescent="0.3">
      <c r="A34" s="26" t="s">
        <v>52</v>
      </c>
      <c r="B34" s="33">
        <v>0.11458333333333333</v>
      </c>
      <c r="C34" s="33">
        <v>0.15625</v>
      </c>
      <c r="D34" s="28">
        <f t="shared" si="24"/>
        <v>1</v>
      </c>
      <c r="E34" s="31">
        <f t="shared" si="40"/>
        <v>1</v>
      </c>
      <c r="F34" s="31">
        <f t="shared" si="25"/>
        <v>0</v>
      </c>
      <c r="G34" s="31">
        <f>IF(L34=1,IF(E34&gt;1,E34-1,E34),AD34)</f>
        <v>1</v>
      </c>
      <c r="H34" s="155" t="s">
        <v>38</v>
      </c>
      <c r="I34" s="156"/>
      <c r="J34" s="40">
        <f t="shared" si="26"/>
        <v>0</v>
      </c>
      <c r="K34" s="54">
        <f t="shared" si="27"/>
        <v>0</v>
      </c>
      <c r="L34" s="45">
        <f t="shared" si="41"/>
        <v>6</v>
      </c>
      <c r="M34" s="54">
        <f t="shared" si="28"/>
        <v>0</v>
      </c>
      <c r="N34" s="55">
        <f t="shared" si="29"/>
        <v>0</v>
      </c>
      <c r="O34" s="45">
        <f t="shared" si="30"/>
        <v>0</v>
      </c>
      <c r="P34" s="40">
        <f t="shared" si="42"/>
        <v>8</v>
      </c>
      <c r="Q34" s="40">
        <f t="shared" si="31"/>
        <v>0</v>
      </c>
      <c r="R34" s="40">
        <f t="shared" si="32"/>
        <v>0</v>
      </c>
      <c r="S34" s="40">
        <f t="shared" si="44"/>
        <v>0</v>
      </c>
      <c r="T34" s="40">
        <f t="shared" si="45"/>
        <v>0</v>
      </c>
      <c r="U34" s="69">
        <f t="shared" si="33"/>
        <v>0</v>
      </c>
      <c r="V34" s="40">
        <f t="shared" si="34"/>
        <v>0</v>
      </c>
      <c r="W34" s="65">
        <f t="shared" si="35"/>
        <v>1</v>
      </c>
      <c r="X34" s="66">
        <f t="shared" si="36"/>
        <v>0</v>
      </c>
      <c r="Y34" s="67">
        <f t="shared" si="37"/>
        <v>1</v>
      </c>
      <c r="Z34" s="40">
        <f t="shared" si="38"/>
        <v>0</v>
      </c>
      <c r="AA34" s="54"/>
      <c r="AB34" s="55">
        <f t="shared" si="39"/>
        <v>0</v>
      </c>
      <c r="AC34" s="55"/>
      <c r="AD34" s="45">
        <f>IF(B34&gt;TIMEVALUE("9:00 PM"),IF(B34&lt;TIMEVALUE("10:00 PM"),(TIMEVALUE("10:00 PM")-B34)*24,IF(E34&gt;1,1,E34)),IF(B34&lt;TIMEVALUE("5:30 AM"),IF(W34&gt;1,1,W34),0))</f>
        <v>1</v>
      </c>
      <c r="AE34" s="40">
        <f t="shared" si="43"/>
        <v>11.75</v>
      </c>
    </row>
    <row r="35" spans="1:31" ht="31.5" customHeight="1" thickTop="1" thickBot="1" x14ac:dyDescent="0.3">
      <c r="A35" s="132" t="s">
        <v>37</v>
      </c>
      <c r="B35" s="133"/>
      <c r="C35" s="133"/>
      <c r="D35" s="38">
        <v>8</v>
      </c>
      <c r="E35" s="22"/>
      <c r="F35" s="22"/>
      <c r="G35" s="22"/>
      <c r="H35" s="22"/>
      <c r="I35" s="23"/>
      <c r="J35" s="40"/>
      <c r="K35" s="56"/>
      <c r="L35" s="48">
        <f>WEEKDAY(G25)</f>
        <v>6</v>
      </c>
      <c r="M35" s="56">
        <f>IF(WEEKDAY(G25)&gt;1,D35,0)</f>
        <v>8</v>
      </c>
      <c r="N35" s="57"/>
      <c r="O35" s="48"/>
      <c r="P35" s="40"/>
      <c r="Q35" s="40"/>
      <c r="R35" s="40"/>
      <c r="S35" s="40"/>
      <c r="T35" s="40"/>
      <c r="U35" s="70">
        <f>IF(G25=1,D35,0)</f>
        <v>0</v>
      </c>
      <c r="V35" s="40"/>
      <c r="W35" s="56"/>
      <c r="X35" s="57"/>
      <c r="Y35" s="48"/>
      <c r="Z35" s="40"/>
      <c r="AA35" s="56"/>
      <c r="AB35" s="57"/>
      <c r="AC35" s="57"/>
      <c r="AD35" s="48"/>
      <c r="AE35" s="40"/>
    </row>
    <row r="36" spans="1:31" ht="31.5" thickTop="1" thickBot="1" x14ac:dyDescent="0.3">
      <c r="A36" s="1"/>
      <c r="B36" s="1"/>
      <c r="C36" s="1"/>
      <c r="D36" s="1"/>
      <c r="E36" s="97" t="s">
        <v>98</v>
      </c>
      <c r="F36" s="100" t="s">
        <v>97</v>
      </c>
      <c r="G36" s="103" t="s">
        <v>99</v>
      </c>
      <c r="H36" s="84" t="s">
        <v>102</v>
      </c>
      <c r="I36" s="85" t="s">
        <v>96</v>
      </c>
    </row>
    <row r="37" spans="1:31" ht="16.5" thickTop="1" thickBot="1" x14ac:dyDescent="0.3">
      <c r="A37" s="122" t="s">
        <v>44</v>
      </c>
      <c r="B37" s="123"/>
      <c r="C37" s="123"/>
      <c r="D37" s="91">
        <f>$B$6</f>
        <v>18</v>
      </c>
      <c r="E37" s="98"/>
      <c r="F37" s="101"/>
      <c r="G37" s="104"/>
      <c r="H37" s="94">
        <f>J1</f>
        <v>18</v>
      </c>
      <c r="I37" s="72">
        <f>IF(J1=D38,M40-F40,IF(D38&gt;J1,IF((M40-F40)&gt;J1,J1,M40-F40),M40-F40))</f>
        <v>11</v>
      </c>
      <c r="J37" s="40">
        <f>H37-I37</f>
        <v>7</v>
      </c>
      <c r="L37" t="s">
        <v>90</v>
      </c>
      <c r="M37" s="40">
        <f>SUM(M13:M20)+SUM(M27:M34)</f>
        <v>11.5</v>
      </c>
    </row>
    <row r="38" spans="1:31" ht="15.75" thickTop="1" x14ac:dyDescent="0.25">
      <c r="A38" s="124" t="s">
        <v>45</v>
      </c>
      <c r="B38" s="125"/>
      <c r="C38" s="125"/>
      <c r="D38" s="92">
        <f>SUM(D13:D20)+SUM(D27:D34)</f>
        <v>20.75</v>
      </c>
      <c r="E38" s="98"/>
      <c r="F38" s="101"/>
      <c r="G38" s="104"/>
      <c r="H38" s="1"/>
      <c r="I38" s="95" t="s">
        <v>48</v>
      </c>
      <c r="L38" t="s">
        <v>88</v>
      </c>
      <c r="M38" s="40">
        <f>(SUMIFS(N13:N20,K13:K20,1,L13:L20,1)+SUMIFS(N27:N34,K27:K34,1,L27:L34,1))+(SUMIFS(M13:M20,K13:K20,0,L13:L20,1)+SUMIFS(M27:M34,K27:K34,0,L27:L34,1))</f>
        <v>0</v>
      </c>
    </row>
    <row r="39" spans="1:31" x14ac:dyDescent="0.25">
      <c r="A39" s="124" t="s">
        <v>46</v>
      </c>
      <c r="B39" s="125"/>
      <c r="C39" s="125"/>
      <c r="D39" s="92">
        <f>D10+D22+D23+D24+D35</f>
        <v>18</v>
      </c>
      <c r="E39" s="99"/>
      <c r="F39" s="102"/>
      <c r="G39" s="105"/>
      <c r="H39" s="1"/>
      <c r="I39" s="96"/>
    </row>
    <row r="40" spans="1:31" ht="15.75" thickBot="1" x14ac:dyDescent="0.3">
      <c r="A40" s="126" t="s">
        <v>104</v>
      </c>
      <c r="B40" s="127"/>
      <c r="C40" s="127"/>
      <c r="D40" s="93">
        <f>SUM(D38:D39)</f>
        <v>38.75</v>
      </c>
      <c r="E40" s="81">
        <f>SUM(E13:E20)+SUM(E27:E34)</f>
        <v>9.2500000000000018</v>
      </c>
      <c r="F40" s="82">
        <f>SUM(F13:F20)+SUM(F27:F34)</f>
        <v>0.5</v>
      </c>
      <c r="G40" s="80">
        <f>SUM(G13:G20)+SUM(G27:G34)</f>
        <v>2.25</v>
      </c>
      <c r="H40" s="1"/>
      <c r="I40" s="83">
        <f>IF(J1=D38,E40+F40-G40,IF(D38&gt;J1,IF((E40+F40-G40)&gt;J37,J37,E40+F40-G40),E40+F40-G40))</f>
        <v>7</v>
      </c>
      <c r="L40" t="s">
        <v>89</v>
      </c>
      <c r="M40" s="40">
        <f>M37-M38</f>
        <v>11.5</v>
      </c>
    </row>
    <row r="41" spans="1:31" ht="16.5" thickTop="1" thickBot="1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31" ht="16.5" thickTop="1" thickBot="1" x14ac:dyDescent="0.3">
      <c r="A42" s="120" t="s">
        <v>91</v>
      </c>
      <c r="B42" s="121"/>
      <c r="C42" s="1"/>
      <c r="D42" s="1"/>
      <c r="E42" s="1"/>
      <c r="F42" s="1"/>
      <c r="G42" s="1"/>
      <c r="H42" s="1"/>
      <c r="I42" s="1"/>
    </row>
    <row r="43" spans="1:31" ht="15.75" thickTop="1" x14ac:dyDescent="0.25">
      <c r="A43" s="73" t="s">
        <v>92</v>
      </c>
      <c r="B43" s="74"/>
      <c r="C43" s="1"/>
      <c r="D43" s="1"/>
      <c r="E43" s="1"/>
      <c r="F43" s="1"/>
      <c r="G43" s="1"/>
      <c r="H43" s="1"/>
      <c r="I43" s="1"/>
    </row>
    <row r="44" spans="1:31" x14ac:dyDescent="0.25">
      <c r="A44" s="75" t="s">
        <v>93</v>
      </c>
      <c r="B44" s="76"/>
      <c r="C44" s="1"/>
      <c r="D44" s="1"/>
      <c r="E44" s="1"/>
      <c r="F44" s="1"/>
      <c r="G44" s="1"/>
      <c r="H44" s="1"/>
      <c r="I44" s="1"/>
    </row>
    <row r="45" spans="1:31" x14ac:dyDescent="0.25">
      <c r="A45" s="75" t="s">
        <v>94</v>
      </c>
      <c r="B45" s="77"/>
      <c r="C45" s="1"/>
      <c r="D45" s="1"/>
      <c r="E45" s="1"/>
      <c r="F45" s="1"/>
      <c r="G45" s="1"/>
      <c r="H45" s="1"/>
      <c r="I45" s="1"/>
    </row>
    <row r="46" spans="1:31" ht="15.75" thickBot="1" x14ac:dyDescent="0.3">
      <c r="A46" s="78" t="s">
        <v>95</v>
      </c>
      <c r="B46" s="79"/>
      <c r="C46" s="1"/>
      <c r="D46" s="1"/>
      <c r="E46" s="1"/>
      <c r="F46" s="1"/>
      <c r="G46" s="1"/>
      <c r="H46" s="1"/>
      <c r="I46" s="1"/>
    </row>
    <row r="47" spans="1:31" ht="15.75" thickTop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</row>
  </sheetData>
  <mergeCells count="49">
    <mergeCell ref="A35:C35"/>
    <mergeCell ref="H31:I31"/>
    <mergeCell ref="H32:I32"/>
    <mergeCell ref="H33:I33"/>
    <mergeCell ref="H34:I34"/>
    <mergeCell ref="H16:I16"/>
    <mergeCell ref="H17:I17"/>
    <mergeCell ref="H18:I18"/>
    <mergeCell ref="H19:I19"/>
    <mergeCell ref="C25:E25"/>
    <mergeCell ref="G25:I25"/>
    <mergeCell ref="C21:E21"/>
    <mergeCell ref="G21:I21"/>
    <mergeCell ref="A23:C23"/>
    <mergeCell ref="A24:C24"/>
    <mergeCell ref="A22:C22"/>
    <mergeCell ref="E22:F22"/>
    <mergeCell ref="E23:F23"/>
    <mergeCell ref="E24:F24"/>
    <mergeCell ref="A7:C7"/>
    <mergeCell ref="A8:C8"/>
    <mergeCell ref="A10:C10"/>
    <mergeCell ref="A1:I1"/>
    <mergeCell ref="C2:F2"/>
    <mergeCell ref="C3:F3"/>
    <mergeCell ref="E4:G4"/>
    <mergeCell ref="A2:B2"/>
    <mergeCell ref="A3:B3"/>
    <mergeCell ref="A42:B42"/>
    <mergeCell ref="A37:C37"/>
    <mergeCell ref="A38:C38"/>
    <mergeCell ref="A39:C39"/>
    <mergeCell ref="A40:C40"/>
    <mergeCell ref="I38:I39"/>
    <mergeCell ref="E36:E39"/>
    <mergeCell ref="F36:F39"/>
    <mergeCell ref="G36:G39"/>
    <mergeCell ref="C11:E11"/>
    <mergeCell ref="G11:I11"/>
    <mergeCell ref="H12:I12"/>
    <mergeCell ref="H13:I13"/>
    <mergeCell ref="H14:I14"/>
    <mergeCell ref="H30:I30"/>
    <mergeCell ref="H26:I26"/>
    <mergeCell ref="H27:I27"/>
    <mergeCell ref="H28:I28"/>
    <mergeCell ref="H29:I29"/>
    <mergeCell ref="H20:I20"/>
    <mergeCell ref="H15:I15"/>
  </mergeCells>
  <dataValidations count="6">
    <dataValidation allowBlank="1" showInputMessage="1" showErrorMessage="1" prompt="Enter City and State of Your Home Address" sqref="C2:F2"/>
    <dataValidation allowBlank="1" showInputMessage="1" showErrorMessage="1" prompt="Do Not Change Unless you Have Been Ordered to Travel to a Satellite Office or Location" sqref="C3:F3"/>
    <dataValidation allowBlank="1" showInputMessage="1" showErrorMessage="1" prompt="TM Examining Attorneys on TEAPP keep as IFP" sqref="B5"/>
    <dataValidation allowBlank="1" showInputMessage="1" showErrorMessage="1" prompt="This is on your Travel Authorization (Travel Orders)" sqref="B6"/>
    <dataValidation type="list" allowBlank="1" showInputMessage="1" showErrorMessage="1" prompt="Answer NO if travelling by different means" sqref="D8">
      <formula1>$K$1:$K$2</formula1>
    </dataValidation>
    <dataValidation type="list" allowBlank="1" showInputMessage="1" showErrorMessage="1" prompt="Answer NO if travelling by different means" sqref="D7">
      <formula1>$K$1:$K$2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Patent and Trademark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/Jay C. Besch/</dc:creator>
  <cp:lastModifiedBy>/Jay C. Besch/</cp:lastModifiedBy>
  <dcterms:created xsi:type="dcterms:W3CDTF">2019-05-23T17:49:19Z</dcterms:created>
  <dcterms:modified xsi:type="dcterms:W3CDTF">2019-06-12T19:43:19Z</dcterms:modified>
</cp:coreProperties>
</file>